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0" yWindow="720" windowWidth="15000" windowHeight="10305" tabRatio="850" firstSheet="6" activeTab="8"/>
  </bookViews>
  <sheets>
    <sheet name="Forklaring" sheetId="18" r:id="rId1"/>
    <sheet name="Resultat" sheetId="1" r:id="rId2"/>
    <sheet name="D_Sentr_" sheetId="2" r:id="rId3"/>
    <sheet name="D_Kirken" sheetId="4" r:id="rId4"/>
    <sheet name="D_Kap 7" sheetId="3" r:id="rId5"/>
    <sheet name="D_Ku-Oppv" sheetId="5" r:id="rId6"/>
    <sheet name="D_H_O" sheetId="6" r:id="rId7"/>
    <sheet name="D_Teknisk" sheetId="9" r:id="rId8"/>
    <sheet name="Inv_totalt" sheetId="10" r:id="rId9"/>
    <sheet name="I_Sentr_" sheetId="11" r:id="rId10"/>
    <sheet name="I_Kirken" sheetId="12" r:id="rId11"/>
    <sheet name="I_Ku-Oppv" sheetId="13" r:id="rId12"/>
    <sheet name="I_H_O" sheetId="14" r:id="rId13"/>
    <sheet name="I_VAR" sheetId="16" r:id="rId14"/>
    <sheet name="I_Teknisk" sheetId="17" r:id="rId15"/>
    <sheet name="Ark1" sheetId="19" r:id="rId16"/>
  </sheets>
  <definedNames>
    <definedName name="Excel_BuiltIn_Print_Area_2">D_Sentr_!$A$1:$G$62</definedName>
    <definedName name="Excel_BuiltIn_Print_Area_6_1">D_H_O!$A$1:$G$59</definedName>
    <definedName name="_xlnm.Print_Area" localSheetId="6">D_H_O!$A$1:$G$59</definedName>
    <definedName name="_xlnm.Print_Area" localSheetId="4">'D_Kap 7'!$A$1:$G$58</definedName>
    <definedName name="_xlnm.Print_Area" localSheetId="3">D_Kirken!$A$1:$G$58</definedName>
    <definedName name="_xlnm.Print_Area" localSheetId="5">'D_Ku-Oppv'!$A$1:$G$64</definedName>
    <definedName name="_xlnm.Print_Area" localSheetId="2">D_Sentr_!$A$1:$G$62</definedName>
    <definedName name="_xlnm.Print_Area" localSheetId="7">D_Teknisk!$A$1:$G$60</definedName>
    <definedName name="_xlnm.Print_Area" localSheetId="0">Forklaring!$A$1:$H$60</definedName>
    <definedName name="_xlnm.Print_Area" localSheetId="12">I_H_O!$A$1:$G$58</definedName>
    <definedName name="_xlnm.Print_Area" localSheetId="10">I_Kirken!$A$1:$G$58</definedName>
    <definedName name="_xlnm.Print_Area" localSheetId="11">'I_Ku-Oppv'!$A$1:$G$58</definedName>
    <definedName name="_xlnm.Print_Area" localSheetId="9">I_Sentr_!$A$1:$G$58</definedName>
    <definedName name="_xlnm.Print_Area" localSheetId="14">I_Teknisk!$A$1:$G$57</definedName>
    <definedName name="_xlnm.Print_Area" localSheetId="13">I_VAR!$A$1:$G$58</definedName>
    <definedName name="_xlnm.Print_Area" localSheetId="8">Inv_totalt!$A$1:$H$58</definedName>
    <definedName name="_xlnm.Print_Area" localSheetId="1">Resultat!$A$1:$I$66</definedName>
    <definedName name="_xlnm.Print_Titles" localSheetId="6">D_H_O!$1:$6</definedName>
    <definedName name="_xlnm.Print_Titles" localSheetId="4">'D_Kap 7'!$1:$6</definedName>
    <definedName name="_xlnm.Print_Titles" localSheetId="3">D_Kirken!$1:$6</definedName>
    <definedName name="_xlnm.Print_Titles" localSheetId="5">'D_Ku-Oppv'!$1:$6</definedName>
    <definedName name="_xlnm.Print_Titles" localSheetId="2">D_Sentr_!$1:$6</definedName>
    <definedName name="_xlnm.Print_Titles" localSheetId="7">D_Teknisk!$1:$6</definedName>
    <definedName name="_xlnm.Print_Titles" localSheetId="12">I_H_O!$1:$6</definedName>
    <definedName name="_xlnm.Print_Titles" localSheetId="10">I_Kirken!$1:$6</definedName>
    <definedName name="_xlnm.Print_Titles" localSheetId="11">'I_Ku-Oppv'!$1:$6</definedName>
    <definedName name="_xlnm.Print_Titles" localSheetId="9">I_Sentr_!$1:$6</definedName>
    <definedName name="_xlnm.Print_Titles" localSheetId="14">I_Teknisk!$1:$6</definedName>
    <definedName name="_xlnm.Print_Titles" localSheetId="13">I_VAR!$1:$6</definedName>
    <definedName name="_xlnm.Print_Titles" localSheetId="8">Inv_totalt!$1:$6</definedName>
  </definedNames>
  <calcPr calcId="145621"/>
</workbook>
</file>

<file path=xl/calcChain.xml><?xml version="1.0" encoding="utf-8"?>
<calcChain xmlns="http://schemas.openxmlformats.org/spreadsheetml/2006/main">
  <c r="F28" i="10" l="1"/>
  <c r="E28" i="10"/>
  <c r="H28" i="10" l="1"/>
  <c r="G28" i="10"/>
  <c r="H38" i="10" l="1"/>
  <c r="F32" i="10"/>
  <c r="H32" i="10"/>
  <c r="G32" i="10"/>
  <c r="E32" i="10"/>
  <c r="G27" i="2"/>
  <c r="F27" i="2"/>
  <c r="E27" i="2"/>
  <c r="G36" i="9" l="1"/>
  <c r="G55" i="5"/>
  <c r="G46" i="6"/>
  <c r="F36" i="9"/>
  <c r="F46" i="6"/>
  <c r="F55" i="5"/>
  <c r="E36" i="9"/>
  <c r="E46" i="6"/>
  <c r="E55" i="5"/>
  <c r="D36" i="9"/>
  <c r="D55" i="5"/>
  <c r="D46" i="6"/>
  <c r="I35" i="1"/>
  <c r="H35" i="1"/>
  <c r="E54" i="5" l="1"/>
  <c r="F54" i="5" s="1"/>
  <c r="G54" i="5" s="1"/>
  <c r="D54" i="5"/>
  <c r="C12" i="6"/>
  <c r="C12" i="9"/>
  <c r="H24" i="10" l="1"/>
  <c r="G24" i="10"/>
  <c r="F24" i="10"/>
  <c r="E24" i="10"/>
  <c r="I21" i="1"/>
  <c r="H21" i="1"/>
  <c r="G21" i="1"/>
  <c r="F21" i="1"/>
  <c r="D44" i="9"/>
  <c r="C44" i="9"/>
  <c r="F34" i="1"/>
  <c r="G34" i="1" s="1"/>
  <c r="H34" i="1" s="1"/>
  <c r="I34" i="1" s="1"/>
  <c r="F10" i="1"/>
  <c r="F8" i="1"/>
  <c r="G30" i="3" l="1"/>
  <c r="F30" i="3"/>
  <c r="E30" i="3"/>
  <c r="D30" i="3"/>
  <c r="D28" i="3"/>
  <c r="G28" i="3"/>
  <c r="F28" i="3"/>
  <c r="E28" i="3"/>
  <c r="I36" i="1"/>
  <c r="H36" i="1"/>
  <c r="G36" i="1"/>
  <c r="F36" i="1"/>
  <c r="G35" i="1"/>
  <c r="F35" i="1"/>
  <c r="I13" i="1"/>
  <c r="H13" i="1"/>
  <c r="G13" i="1"/>
  <c r="F13" i="1"/>
  <c r="I20" i="1"/>
  <c r="H20" i="1"/>
  <c r="G20" i="1"/>
  <c r="F20" i="1"/>
  <c r="F18" i="1"/>
  <c r="G18" i="1" s="1"/>
  <c r="H18" i="1" s="1"/>
  <c r="I18" i="1" s="1"/>
  <c r="I15" i="1"/>
  <c r="H15" i="1"/>
  <c r="G15" i="1"/>
  <c r="F15" i="1"/>
  <c r="G10" i="1"/>
  <c r="H10" i="1" s="1"/>
  <c r="I10" i="1" s="1"/>
  <c r="G8" i="1"/>
  <c r="H8" i="1" s="1"/>
  <c r="I8" i="1" s="1"/>
  <c r="G9" i="1" l="1"/>
  <c r="H9" i="1" s="1"/>
  <c r="I9" i="1" s="1"/>
  <c r="I26" i="1"/>
  <c r="H26" i="1"/>
  <c r="G26" i="1"/>
  <c r="I25" i="1"/>
  <c r="H25" i="1"/>
  <c r="H14" i="10"/>
  <c r="G14" i="10"/>
  <c r="F14" i="10"/>
  <c r="H13" i="10"/>
  <c r="G13" i="10"/>
  <c r="F13" i="10"/>
  <c r="H10" i="10"/>
  <c r="H9" i="10"/>
  <c r="G9" i="10"/>
  <c r="F9" i="10"/>
  <c r="E14" i="10"/>
  <c r="E13" i="10"/>
  <c r="E23" i="10" s="1"/>
  <c r="E9" i="10"/>
  <c r="H43" i="10"/>
  <c r="D37" i="16"/>
  <c r="D10" i="16"/>
  <c r="F41" i="17"/>
  <c r="E41" i="17"/>
  <c r="D41" i="17"/>
  <c r="D15" i="13"/>
  <c r="D14" i="13"/>
  <c r="F12" i="13"/>
  <c r="D9" i="11"/>
  <c r="F26" i="1"/>
  <c r="G25" i="1"/>
  <c r="F25" i="1"/>
  <c r="H23" i="10" l="1"/>
  <c r="H26" i="10" s="1"/>
  <c r="F23" i="10"/>
  <c r="G23" i="10"/>
  <c r="D38" i="1"/>
  <c r="D22" i="1"/>
  <c r="C13" i="4" l="1"/>
  <c r="I12" i="1" l="1"/>
  <c r="C52" i="6" l="1"/>
  <c r="H38" i="1" l="1"/>
  <c r="D51" i="1" l="1"/>
  <c r="E57" i="17" l="1"/>
  <c r="F15" i="10" s="1"/>
  <c r="G57" i="17"/>
  <c r="H15" i="10" s="1"/>
  <c r="F57" i="17"/>
  <c r="G15" i="10" s="1"/>
  <c r="D61" i="1" l="1"/>
  <c r="D63" i="1" s="1"/>
  <c r="C57" i="17" l="1"/>
  <c r="C22" i="3"/>
  <c r="I11" i="1" l="1"/>
  <c r="C48" i="6" l="1"/>
  <c r="F8" i="6"/>
  <c r="I38" i="1"/>
  <c r="D57" i="17"/>
  <c r="E15" i="10" s="1"/>
  <c r="F22" i="1"/>
  <c r="C58" i="5"/>
  <c r="C38" i="9"/>
  <c r="C34" i="2"/>
  <c r="C31" i="3"/>
  <c r="C61" i="5"/>
  <c r="F8" i="5" s="1"/>
  <c r="C45" i="9"/>
  <c r="E8" i="9" s="1"/>
  <c r="C47" i="2"/>
  <c r="C19" i="4"/>
  <c r="C58" i="4" s="1"/>
  <c r="F51" i="1"/>
  <c r="F38" i="1"/>
  <c r="G51" i="1"/>
  <c r="H51" i="1"/>
  <c r="I51" i="1"/>
  <c r="G24" i="16"/>
  <c r="G46" i="16"/>
  <c r="F24" i="16"/>
  <c r="F46" i="16"/>
  <c r="E24" i="16"/>
  <c r="E46" i="16"/>
  <c r="D24" i="16"/>
  <c r="D46" i="16"/>
  <c r="C58" i="11"/>
  <c r="C58" i="13"/>
  <c r="C58" i="14"/>
  <c r="C24" i="16"/>
  <c r="C46" i="16"/>
  <c r="C58" i="12"/>
  <c r="D26" i="10"/>
  <c r="D43" i="10"/>
  <c r="G58" i="12"/>
  <c r="G58" i="13"/>
  <c r="H11" i="10" s="1"/>
  <c r="G58" i="14"/>
  <c r="H12" i="10" s="1"/>
  <c r="F58" i="12"/>
  <c r="G10" i="10" s="1"/>
  <c r="F58" i="13"/>
  <c r="G11" i="10" s="1"/>
  <c r="G43" i="10"/>
  <c r="E58" i="12"/>
  <c r="F10" i="10" s="1"/>
  <c r="E58" i="13"/>
  <c r="F11" i="10" s="1"/>
  <c r="E58" i="14"/>
  <c r="F12" i="10" s="1"/>
  <c r="D58" i="12"/>
  <c r="E10" i="10" s="1"/>
  <c r="D58" i="13"/>
  <c r="E11" i="10" s="1"/>
  <c r="D58" i="14"/>
  <c r="E12" i="10" s="1"/>
  <c r="G58" i="11"/>
  <c r="E58" i="11"/>
  <c r="D58" i="11"/>
  <c r="F58" i="11"/>
  <c r="F58" i="14"/>
  <c r="G12" i="10" s="1"/>
  <c r="E22" i="1"/>
  <c r="E38" i="1"/>
  <c r="E51" i="1"/>
  <c r="H16" i="10" l="1"/>
  <c r="H20" i="10" s="1"/>
  <c r="H58" i="10" s="1"/>
  <c r="D8" i="4"/>
  <c r="C59" i="6"/>
  <c r="E58" i="1" s="1"/>
  <c r="C62" i="2"/>
  <c r="C58" i="16"/>
  <c r="E16" i="10"/>
  <c r="E20" i="10" s="1"/>
  <c r="D58" i="16"/>
  <c r="E8" i="6"/>
  <c r="F58" i="16"/>
  <c r="D8" i="9"/>
  <c r="D8" i="3"/>
  <c r="C58" i="3"/>
  <c r="E55" i="1" s="1"/>
  <c r="G8" i="2"/>
  <c r="F8" i="2"/>
  <c r="D8" i="2"/>
  <c r="E8" i="2"/>
  <c r="G8" i="3"/>
  <c r="F8" i="3"/>
  <c r="G8" i="4"/>
  <c r="F26" i="10"/>
  <c r="E8" i="4"/>
  <c r="C60" i="9"/>
  <c r="E60" i="1" s="1"/>
  <c r="D8" i="6"/>
  <c r="H22" i="1"/>
  <c r="G8" i="9"/>
  <c r="F8" i="4"/>
  <c r="E8" i="3"/>
  <c r="G22" i="1"/>
  <c r="G8" i="6"/>
  <c r="E26" i="10"/>
  <c r="E43" i="10"/>
  <c r="F8" i="9"/>
  <c r="C64" i="5"/>
  <c r="D7" i="5" s="1"/>
  <c r="F16" i="10"/>
  <c r="F20" i="10" s="1"/>
  <c r="D16" i="10"/>
  <c r="D20" i="10" s="1"/>
  <c r="D58" i="10" s="1"/>
  <c r="G16" i="10"/>
  <c r="G20" i="10" s="1"/>
  <c r="I22" i="1"/>
  <c r="F43" i="10"/>
  <c r="E8" i="5"/>
  <c r="G8" i="5"/>
  <c r="D8" i="5"/>
  <c r="E58" i="16"/>
  <c r="G58" i="16"/>
  <c r="G26" i="10"/>
  <c r="G38" i="1"/>
  <c r="D7" i="6" l="1"/>
  <c r="F7" i="6" s="1"/>
  <c r="F59" i="6" s="1"/>
  <c r="H58" i="1" s="1"/>
  <c r="E58" i="10"/>
  <c r="F58" i="10"/>
  <c r="G58" i="10"/>
  <c r="D7" i="9"/>
  <c r="D60" i="9" s="1"/>
  <c r="F60" i="1" s="1"/>
  <c r="D7" i="2"/>
  <c r="F7" i="2" s="1"/>
  <c r="F62" i="2" s="1"/>
  <c r="H54" i="1" s="1"/>
  <c r="E54" i="1"/>
  <c r="D7" i="3"/>
  <c r="E7" i="3" s="1"/>
  <c r="D7" i="4"/>
  <c r="E56" i="1"/>
  <c r="E57" i="1"/>
  <c r="F7" i="5"/>
  <c r="E7" i="5"/>
  <c r="G7" i="5"/>
  <c r="D64" i="5"/>
  <c r="F57" i="1" s="1"/>
  <c r="E7" i="6" l="1"/>
  <c r="E59" i="6" s="1"/>
  <c r="G58" i="1" s="1"/>
  <c r="D59" i="6"/>
  <c r="F58" i="1" s="1"/>
  <c r="G7" i="6"/>
  <c r="G59" i="6" s="1"/>
  <c r="I58" i="1" s="1"/>
  <c r="D58" i="3"/>
  <c r="F55" i="1" s="1"/>
  <c r="D62" i="2"/>
  <c r="F54" i="1" s="1"/>
  <c r="F7" i="9"/>
  <c r="F60" i="9" s="1"/>
  <c r="H60" i="1" s="1"/>
  <c r="E7" i="9"/>
  <c r="E60" i="9" s="1"/>
  <c r="G60" i="1" s="1"/>
  <c r="G7" i="9"/>
  <c r="G60" i="9" s="1"/>
  <c r="I60" i="1" s="1"/>
  <c r="G7" i="2"/>
  <c r="G62" i="2" s="1"/>
  <c r="I54" i="1" s="1"/>
  <c r="E7" i="2"/>
  <c r="E62" i="2" s="1"/>
  <c r="G54" i="1" s="1"/>
  <c r="E61" i="1"/>
  <c r="E63" i="1" s="1"/>
  <c r="F7" i="4"/>
  <c r="F58" i="4" s="1"/>
  <c r="H56" i="1" s="1"/>
  <c r="G7" i="4"/>
  <c r="G58" i="4" s="1"/>
  <c r="I56" i="1" s="1"/>
  <c r="D58" i="4"/>
  <c r="F56" i="1" s="1"/>
  <c r="E7" i="4"/>
  <c r="E58" i="4" s="1"/>
  <c r="G56" i="1" s="1"/>
  <c r="E58" i="3"/>
  <c r="G55" i="1" s="1"/>
  <c r="F7" i="3"/>
  <c r="F61" i="1" l="1"/>
  <c r="F63" i="1" s="1"/>
  <c r="F58" i="3"/>
  <c r="H55" i="1" s="1"/>
  <c r="G7" i="3"/>
  <c r="G58" i="3" s="1"/>
  <c r="I55" i="1" s="1"/>
  <c r="E64" i="5"/>
  <c r="G57" i="1" s="1"/>
  <c r="G61" i="1" s="1"/>
  <c r="G63" i="1" s="1"/>
  <c r="F64" i="5" l="1"/>
  <c r="H57" i="1" s="1"/>
  <c r="H61" i="1" s="1"/>
  <c r="H63" i="1" s="1"/>
  <c r="G64" i="5"/>
  <c r="I57" i="1" s="1"/>
  <c r="I61" i="1" s="1"/>
  <c r="I63" i="1" s="1"/>
  <c r="C65" i="1" l="1"/>
</calcChain>
</file>

<file path=xl/comments1.xml><?xml version="1.0" encoding="utf-8"?>
<comments xmlns="http://schemas.openxmlformats.org/spreadsheetml/2006/main">
  <authors>
    <author>Tore L.  Oliversen</author>
    <author/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Finansieringen skjer slik:
Driftsfondet - 780
Tore L.  Oliversen:
9/9-15: 1900 er bruk av Finansfondet. 336 er bruk av Driftsfondet.</t>
        </r>
      </text>
    </comment>
    <comment ref="B59" authorId="1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>
  <authors>
    <author>Tore L.  Oliversen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Snakker om dette kommer på 140 mill kr.</t>
        </r>
      </text>
    </comment>
  </commentList>
</comments>
</file>

<file path=xl/sharedStrings.xml><?xml version="1.0" encoding="utf-8"?>
<sst xmlns="http://schemas.openxmlformats.org/spreadsheetml/2006/main" count="655" uniqueCount="450">
  <si>
    <t>Vann/avløp Segleim</t>
  </si>
  <si>
    <t>Turvei Langevann vest</t>
  </si>
  <si>
    <t>Brann - klippeutstyr/redning</t>
  </si>
  <si>
    <t xml:space="preserve">Renovering kommunale broer </t>
  </si>
  <si>
    <t>Egenkapitalinnskudd KLP</t>
  </si>
  <si>
    <t>VA-infrastrukturtiltak</t>
  </si>
  <si>
    <t>Årlig egenkapitalinnskudd KLP</t>
  </si>
  <si>
    <t>Utbedre fuktskade kjølerom kapell</t>
  </si>
  <si>
    <t>Tilpassning/renovering/inventar skoler/barneh</t>
  </si>
  <si>
    <t>Barnehagekonsulent</t>
  </si>
  <si>
    <t>Bruk av Samhandlingsfond</t>
  </si>
  <si>
    <t>Bruk av Pensjonsfondet (eget fond EK)</t>
  </si>
  <si>
    <t>Tilskudd OBD (E2015)</t>
  </si>
  <si>
    <t>Bruk av Barnehagefondet</t>
  </si>
  <si>
    <t>Salg av tomter</t>
  </si>
  <si>
    <t>Refusjon infrastruktur tomter</t>
  </si>
  <si>
    <t>Husabø barnehage - taktekking, kledning</t>
  </si>
  <si>
    <t>Maling Lundeåne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</si>
  <si>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</si>
  <si>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</si>
  <si>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</si>
  <si>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</si>
  <si>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</si>
  <si>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</si>
  <si>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</si>
  <si>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</si>
  <si>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</si>
  <si>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</si>
  <si>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</si>
  <si>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</si>
  <si>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</si>
  <si>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</si>
  <si>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</si>
  <si>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</si>
  <si>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</si>
  <si>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</si>
  <si>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</si>
  <si>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</si>
  <si>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</si>
  <si>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</si>
  <si>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</si>
  <si>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</si>
  <si>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</si>
  <si>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</si>
  <si>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</si>
  <si>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</si>
  <si>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</si>
  <si>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</si>
  <si>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</si>
  <si>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Netto avsetninger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</si>
  <si>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</si>
  <si>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</si>
  <si>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</si>
  <si>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</si>
  <si>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</si>
  <si>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</si>
  <si>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</si>
  <si>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</si>
  <si>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</si>
  <si>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</si>
  <si>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</si>
  <si>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</si>
  <si>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</si>
  <si>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</si>
  <si>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</si>
  <si>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</si>
  <si>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</si>
  <si>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</si>
  <si>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</si>
  <si>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</si>
  <si>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</si>
  <si>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</si>
  <si>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</si>
  <si>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</si>
  <si>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</si>
  <si>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</si>
  <si>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</si>
  <si>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</si>
  <si>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</si>
  <si>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</si>
  <si>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</si>
  <si>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</si>
  <si>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</si>
  <si>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</si>
  <si>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</si>
  <si>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</si>
  <si>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</si>
  <si>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</si>
  <si>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</si>
  <si>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Vann og avløp</t>
  </si>
  <si>
    <t>Tiltak på vannledningsnettet</t>
  </si>
  <si>
    <t>Sum vannforsyning</t>
  </si>
  <si>
    <t>Tiltak på avløpsnettet</t>
  </si>
  <si>
    <t>Nye kloakkpumpestasjoner</t>
  </si>
  <si>
    <t>Sum avløp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</si>
  <si>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</si>
  <si>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</si>
  <si>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</si>
  <si>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</si>
  <si>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</si>
  <si>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Skjønnsmidler fra fylkesmannen</t>
  </si>
  <si>
    <t>Fellesfunksjoner - Kap 7</t>
  </si>
  <si>
    <t>Sanering avløpsledning sentrum</t>
  </si>
  <si>
    <t>Avdrag ansvarlig lån Lyse</t>
  </si>
  <si>
    <t>Oppgradering av felles utstyr/servere</t>
  </si>
  <si>
    <t>Oppgradering Skjerpe renseanlegg</t>
  </si>
  <si>
    <t>Friluftsomåder</t>
  </si>
  <si>
    <t>Eiendomsskatt</t>
  </si>
  <si>
    <t>2200/2500</t>
  </si>
  <si>
    <t>Diverse</t>
  </si>
  <si>
    <t>Barnevern - tiltak utenfor/i familie</t>
  </si>
  <si>
    <t>Amortisert premieavvik - kostnad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</si>
  <si>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</si>
  <si>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</si>
  <si>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</si>
  <si>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</si>
  <si>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</si>
  <si>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</si>
  <si>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</si>
  <si>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</si>
  <si>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</si>
  <si>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</si>
  <si>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</si>
  <si>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</si>
  <si>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</si>
  <si>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I vedlagt </t>
    </r>
    <r>
      <rPr>
        <u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</si>
  <si>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</si>
  <si>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</si>
  <si>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</si>
  <si>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</si>
  <si>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</si>
  <si>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</si>
  <si>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</si>
  <si>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</si>
  <si>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</si>
  <si>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</si>
  <si>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</si>
  <si>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</si>
  <si>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</si>
  <si>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</si>
  <si>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</si>
  <si>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</si>
  <si>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</si>
  <si>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</si>
  <si>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</si>
  <si>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</si>
  <si>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</si>
  <si>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</si>
  <si>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</si>
  <si>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</si>
  <si>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</si>
  <si>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</si>
  <si>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</si>
  <si>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</si>
  <si>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</si>
  <si>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</si>
  <si>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Ressurskrevende tjenester HO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</si>
  <si>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</si>
  <si>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</si>
  <si>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</si>
  <si>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</si>
  <si>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</si>
  <si>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</si>
  <si>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</si>
  <si>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Tilskudd Magma Geopark</t>
  </si>
  <si>
    <t>Data til folkevalgte (egen sak)</t>
  </si>
  <si>
    <t>PC-er til elever med spesielle behov</t>
  </si>
  <si>
    <t>Kart i 3D</t>
  </si>
  <si>
    <t>,</t>
  </si>
  <si>
    <t>Avsetning til Investeringfondet</t>
  </si>
  <si>
    <t>Avløp - Rundevollsveien</t>
  </si>
  <si>
    <t>Kontrollutvalget</t>
  </si>
  <si>
    <t>Økt tilskudd private barnehager</t>
  </si>
  <si>
    <t>Kulturhuset - heis til stor sal (univ.utf.)</t>
  </si>
  <si>
    <t>Egersundshallen - univ.utf./wc</t>
  </si>
  <si>
    <t xml:space="preserve">Renteutgifter på lån </t>
  </si>
  <si>
    <t>Avdrag på lån</t>
  </si>
  <si>
    <t>Forsikringspremie  - endring</t>
  </si>
  <si>
    <t>IKT-skolene utskifting eksisterende utstyr</t>
  </si>
  <si>
    <t>Oppgradering av IKT-utstyr – HO</t>
  </si>
  <si>
    <t>Nytt IKT-utstyr skolene (økt tetthet)</t>
  </si>
  <si>
    <t>Lysgården buss</t>
  </si>
  <si>
    <t>Renovering kommunale bygninger</t>
  </si>
  <si>
    <t>Energiutgifter -10%</t>
  </si>
  <si>
    <t>Eiendomsskatt vindmøller (næring)</t>
  </si>
  <si>
    <t>Tidlig innsats - økt stillingsressurs</t>
  </si>
  <si>
    <t>Brukerbetalinger</t>
  </si>
  <si>
    <t>Brukerbetaling</t>
  </si>
  <si>
    <t>Premieavvik SPK</t>
  </si>
  <si>
    <t>Premieavvik KLP</t>
  </si>
  <si>
    <t>Utg. nye lokaler Voksenopplæringsent/HO</t>
  </si>
  <si>
    <t>Pensjon - økte utgifter</t>
  </si>
  <si>
    <t>Avsetning lønnspott - halvårsvirkning 2013</t>
  </si>
  <si>
    <t>Avsetning Vertskommunetilskudd til EK</t>
  </si>
  <si>
    <t>Valg</t>
  </si>
  <si>
    <t>Utstyr til vintervedlikehold (vei/utemiljø)</t>
  </si>
  <si>
    <t xml:space="preserve">Vedlikehold lekeplasser </t>
  </si>
  <si>
    <t>Salg av bygninger</t>
  </si>
  <si>
    <t>Eiendomstaksering - eiendomsskatt</t>
  </si>
  <si>
    <t>Frie avsetninger til Driftsfond</t>
  </si>
  <si>
    <t>Ny gravlund - Egersund</t>
  </si>
  <si>
    <t>Lovpålagt brokontroll i kommunen</t>
  </si>
  <si>
    <t>Avsetning til Tomteutv.fondet</t>
  </si>
  <si>
    <t>Utskifting bil m/plan (transporter) og varebil</t>
  </si>
  <si>
    <t>Utskifting 2 varebiler m/4 hjulstrekk</t>
  </si>
  <si>
    <t>Fjellheim-isolering vegger,vinduer,dører</t>
  </si>
  <si>
    <t>Større renoveringsprosjekt veisektor</t>
  </si>
  <si>
    <t>Reduksjoner sykefravær</t>
  </si>
  <si>
    <t>Eigersund 2015</t>
  </si>
  <si>
    <t>Bruk/avsetning Finansfondet</t>
  </si>
  <si>
    <t>5xxx</t>
  </si>
  <si>
    <t>Teknisk avdeling</t>
  </si>
  <si>
    <t>Kultur og skole</t>
  </si>
  <si>
    <t>Helse- og omsorg</t>
  </si>
  <si>
    <t>Utbytte Dalane Energi IKS</t>
  </si>
  <si>
    <t>Kultur og oppvekst</t>
  </si>
  <si>
    <t>VA-sektoren - selvfinansierende</t>
  </si>
  <si>
    <t>Ressurskrevende tjenester barn</t>
  </si>
  <si>
    <t>Avsetning lønnspott - halvårsvirkning 2014</t>
  </si>
  <si>
    <t>Samhandlingsreformen - medfinansiering</t>
  </si>
  <si>
    <t>Ny rullestol rampe Helleland kirke</t>
  </si>
  <si>
    <t>Gatebelysning - utfasing av HQL lyskilder</t>
  </si>
  <si>
    <t>Bruk fond tilb.ført pensjonsm. 04</t>
  </si>
  <si>
    <t>Oppgradering sak-/arkivløsing</t>
  </si>
  <si>
    <t xml:space="preserve">Husabø u skole- tilsynskrav brannteknisk </t>
  </si>
  <si>
    <t>Slettebø idrettsbygg</t>
  </si>
  <si>
    <t>Slettebø barnehage - ny taktekking</t>
  </si>
  <si>
    <t>Gr.Bråden barnehage - ny taktekking</t>
  </si>
  <si>
    <t>Nytt</t>
  </si>
  <si>
    <t>Overføring til investeringsregnskapet</t>
  </si>
  <si>
    <t>Bundne / frie avsetninger</t>
  </si>
  <si>
    <r>
      <t xml:space="preserve"> * Eksempelet er et </t>
    </r>
    <r>
      <rPr>
        <i/>
        <u/>
        <sz val="12"/>
        <rFont val="Arial"/>
        <family val="2"/>
      </rPr>
      <t>hypotetisk eksempel - dog hentet fra en tidligere økonomiplan.</t>
    </r>
  </si>
  <si>
    <t>K-sak 041/14 Driftstilpasninger</t>
  </si>
  <si>
    <t>Bruk av Premiefond i KLP</t>
  </si>
  <si>
    <t>Datasikkerhet</t>
  </si>
  <si>
    <t>Flytte lønn/pensjon til avdelingene</t>
  </si>
  <si>
    <t>Tilføre midler ang. KO-saken</t>
  </si>
  <si>
    <t>Endringer mellom enheter/avd</t>
  </si>
  <si>
    <t>Bruk av frie fond - se KS 290914</t>
  </si>
  <si>
    <t>Flytte pensjon til avdelingene</t>
  </si>
  <si>
    <t xml:space="preserve">Bruk av frie driftsfond </t>
  </si>
  <si>
    <t>Bruk av Pensjonsfondet</t>
  </si>
  <si>
    <t>Avsetning lønnspotten for oppgjør 2015</t>
  </si>
  <si>
    <t>Kursmidler flyttes til avdelingene</t>
  </si>
  <si>
    <t>Kursmidlene flyttes til avdelingene</t>
  </si>
  <si>
    <t>Kursmidlene flyttet ut til avdelingene</t>
  </si>
  <si>
    <t>Innløsning hus Sokndalsveien 18</t>
  </si>
  <si>
    <t>Endring godtgjørelse politiske utvalg</t>
  </si>
  <si>
    <t>Økt betaling OU - kommunal egenandel</t>
  </si>
  <si>
    <t>Økte midler lærlinger - ramme</t>
  </si>
  <si>
    <t>Regnskapskontrollør interkommunal ordning</t>
  </si>
  <si>
    <t>Økt kontingent KS</t>
  </si>
  <si>
    <t>Felles styrer Rundevoll/Husabø barnehage</t>
  </si>
  <si>
    <t>Red. assistenter ved skolene</t>
  </si>
  <si>
    <t>Driftstilpasninger skolene</t>
  </si>
  <si>
    <t>Red. lederstilling - vertskommunetilskudd</t>
  </si>
  <si>
    <t>Legge ned ett bofellesskap Lundeåne</t>
  </si>
  <si>
    <t>Red. bemanning akktivitessenter psykisk utv</t>
  </si>
  <si>
    <t>Redusert renhold</t>
  </si>
  <si>
    <t>Red. miljø og TS-tiltak</t>
  </si>
  <si>
    <t>Netto inntektsutjevning</t>
  </si>
  <si>
    <t>St.bud - Valgfag 10. trinn</t>
  </si>
  <si>
    <t>St.bud - økt egenandel barnevernet</t>
  </si>
  <si>
    <t>St.bud - økt makspris barnehager</t>
  </si>
  <si>
    <t>St.bud - Moderasjonsordning i barnehage</t>
  </si>
  <si>
    <t>St.bud - red. egenandel sjukeheim</t>
  </si>
  <si>
    <t>St.bud - Brukerstyr personlig assistent</t>
  </si>
  <si>
    <t>St.bud - Midler til Helsestasjon</t>
  </si>
  <si>
    <t>St.bud - Midler til rus/psykiatri</t>
  </si>
  <si>
    <t>Introduksjonsstønad flyktninger økning</t>
  </si>
  <si>
    <t>Flyktningetjenesten / lege</t>
  </si>
  <si>
    <t>Lønnsreguleringer legeavtaler/fysio</t>
  </si>
  <si>
    <t>Kvalifiseringsprogrammet inkl flyktninger</t>
  </si>
  <si>
    <t>Avvente Okka Festival</t>
  </si>
  <si>
    <t>100%-st IKT</t>
  </si>
  <si>
    <t>Tapt inntekt - komp</t>
  </si>
  <si>
    <t>Økte utgifter sosialhjelp</t>
  </si>
  <si>
    <t>Økt refusjon selvkostområdene</t>
  </si>
  <si>
    <t>Mottak av flyktninger skolene</t>
  </si>
  <si>
    <t>Driftstilpasninger Kulturavdelingen</t>
  </si>
  <si>
    <t>Ny avtale PPT - økt refusjon andre kommuner</t>
  </si>
  <si>
    <t>Tilskudd menighetsrådsvalg</t>
  </si>
  <si>
    <t>Nytt tak Egersund kirke</t>
  </si>
  <si>
    <t>Kirkestue ved Helleland kirke</t>
  </si>
  <si>
    <t>Nye toalett Egersund kirke - grunnarbeider</t>
  </si>
  <si>
    <t>Nye toalett Egersund kirke - bygging</t>
  </si>
  <si>
    <t>Sanering planoverganger Sleveland/Kjelland</t>
  </si>
  <si>
    <t>Tomteutvikling EN&amp;H KF</t>
  </si>
  <si>
    <t>Løsning for IP/IOP</t>
  </si>
  <si>
    <t>Oppgradering kursrom Pingvinen</t>
  </si>
  <si>
    <t>Felles trådløs nettverksløsning</t>
  </si>
  <si>
    <t>System Voksenopplæring / Flyktningetjenesten</t>
  </si>
  <si>
    <t>Velferdsteknologi</t>
  </si>
  <si>
    <t>Økte driftsutgifter IKT - system</t>
  </si>
  <si>
    <t>Kjøretøy Rusomsorgen</t>
  </si>
  <si>
    <t>Utskifting mindre mannskapsbiler 4x4</t>
  </si>
  <si>
    <t>Egersundshallen - rekkverk tribune svømmehall</t>
  </si>
  <si>
    <t>Husabø skolene - tak og inneklima</t>
  </si>
  <si>
    <t>Rundevoll barnehage - renovering (vurdering)</t>
  </si>
  <si>
    <t>Nytt senter Lagård - omsorgsplan</t>
  </si>
  <si>
    <t>Lagård ungdomsskole P-Bygget</t>
  </si>
  <si>
    <t>Eigerøy skole - nybygg og oppgradering</t>
  </si>
  <si>
    <t>Planlegging evt. ny ungdomsksole</t>
  </si>
  <si>
    <t>Utskrifting hjulgravemaskin</t>
  </si>
  <si>
    <t>Utbygging ny vannkilde</t>
  </si>
  <si>
    <t>Sanering vannledning</t>
  </si>
  <si>
    <t>Gamle Eigerøyvein - pumpestasjon/ledningsnett</t>
  </si>
  <si>
    <t xml:space="preserve">Aase offentlig VA </t>
  </si>
  <si>
    <t>Geovekst-prosjekt FKB</t>
  </si>
  <si>
    <t>Forstøtningsmurer Holan og Rundevollveien</t>
  </si>
  <si>
    <t>Utskifting mindre maskiner/utstyr/varebil  vei</t>
  </si>
  <si>
    <t>Utskifting av traktor Vei og Utemiljø</t>
  </si>
  <si>
    <t>Sykkelbyen - sykkelparkering sentrum</t>
  </si>
  <si>
    <t>Utbygging Hestnes boligfelt</t>
  </si>
  <si>
    <t>Momsrefusjon</t>
  </si>
  <si>
    <t>Bruk av investeringsfond</t>
  </si>
  <si>
    <t>Økt antall elever</t>
  </si>
  <si>
    <t>Døvetolk - 100% stilling</t>
  </si>
  <si>
    <t>Inndekning - driftsendringer/bruk av fond</t>
  </si>
  <si>
    <t>Barnevernboliger flyktninger -flytting av midler</t>
  </si>
  <si>
    <t>2 ressurskrevende elever</t>
  </si>
  <si>
    <t xml:space="preserve">Eiendomsskatt - omtaksering </t>
  </si>
  <si>
    <t>3311/3100</t>
  </si>
  <si>
    <t>33xx</t>
  </si>
  <si>
    <t>Overf. av tidl. kulturavd. til kultur og skole</t>
  </si>
  <si>
    <t>Endringer ved Kulturskolen</t>
  </si>
  <si>
    <t>100%-stilling som SLT-koordinator</t>
  </si>
  <si>
    <t>Tilskudd til TV-aksjon beholdes</t>
  </si>
  <si>
    <t>Tilskudd til iPark</t>
  </si>
  <si>
    <t>Brukerbetalinger Kulturskolen</t>
  </si>
  <si>
    <t>Endring div gebyr/avgifter</t>
  </si>
  <si>
    <t>Red. el. Energi</t>
  </si>
  <si>
    <t>Ladestasjoner el-biler - totalt 8 plasser</t>
  </si>
  <si>
    <t>Reduksjon Tusenbeinet åpen barnehage</t>
  </si>
  <si>
    <t>Vikar for ferie</t>
  </si>
  <si>
    <t>St.bud - endringer barnehageopptak/flere barn</t>
  </si>
  <si>
    <t>Avsetning Parkeringsfond</t>
  </si>
  <si>
    <t>Spillemidler Langevann/Slettebø</t>
  </si>
  <si>
    <t>Flytte lønn til avdelingene lønnsoppgjør</t>
  </si>
  <si>
    <t>Lønnsendringer 2014</t>
  </si>
  <si>
    <t>Flytte Sykkelbyprosjektet</t>
  </si>
  <si>
    <t>Sykkelbyprosjektet (flyttes fra Teknisk)</t>
  </si>
  <si>
    <t>Endring</t>
  </si>
  <si>
    <t>Indeksregulering - diverse forhold/endringer</t>
  </si>
  <si>
    <r>
      <t>Forskuttering Saurdalen G/S</t>
    </r>
    <r>
      <rPr>
        <sz val="10"/>
        <rFont val="Times New Roman"/>
        <family val="1"/>
      </rPr>
      <t xml:space="preserve"> (KS-møte 15/6/15)</t>
    </r>
  </si>
  <si>
    <t xml:space="preserve">Refusjon Rogaland fylkeskommune </t>
  </si>
  <si>
    <t>GB-skole universell utforming</t>
  </si>
  <si>
    <t>Helårsvirkning lønnsoppgjør 2015 i 2016</t>
  </si>
  <si>
    <t>Datakommunikasjon - økte utgifter</t>
  </si>
  <si>
    <t>Qm+ - kontingent</t>
  </si>
  <si>
    <t>Botilbud mindreårige flyktninger</t>
  </si>
  <si>
    <t>Flytte regnskapsføring gravlund</t>
  </si>
  <si>
    <t>Budsjett 2016 - økonomiplan 2016 - 2019</t>
  </si>
  <si>
    <t>Samlet resultat 2016 - 2019</t>
  </si>
  <si>
    <t>Fratrekk engangsforhold 2015</t>
  </si>
  <si>
    <t>Til fordeling investering:</t>
  </si>
  <si>
    <t>Oppgradering software (Office)</t>
  </si>
  <si>
    <t>Driftsverktøy IKT</t>
  </si>
  <si>
    <t>Konvertering av Winsak</t>
  </si>
  <si>
    <t>Oppgradering valglokalene</t>
  </si>
  <si>
    <t>Digitalisering</t>
  </si>
  <si>
    <t>Avlastningsbolig Blåsenborg - ny buss</t>
  </si>
  <si>
    <t>Bil Flyktningetjenesten</t>
  </si>
  <si>
    <t>Inventar/teknisk utstyr/utstyr HO</t>
  </si>
  <si>
    <t>Garderobeskap Lagård HO</t>
  </si>
  <si>
    <t>Oppvaskemaskin kjøkken Lagård HO</t>
  </si>
  <si>
    <t>Utskifting nøkkelbokser hjemmesykepleie</t>
  </si>
  <si>
    <t>Utbygging Ramsland boligfelt</t>
  </si>
  <si>
    <t>Utbedring dam Helleland</t>
  </si>
  <si>
    <t>Sanering Strandgaten - Lervika</t>
  </si>
  <si>
    <t>Sanering Kjærlighetsstien</t>
  </si>
  <si>
    <t>Saneringsanlegg Motalaveien</t>
  </si>
  <si>
    <t>Saneringsanlegg Nonsfjellveien</t>
  </si>
  <si>
    <t>Saneringsanlegg Ø. Prestegårdsvei</t>
  </si>
  <si>
    <t>Saneringsanelegg - Prestegårdsveien</t>
  </si>
  <si>
    <t>Saneringsanlegg - Hafsøyveien</t>
  </si>
  <si>
    <t>Slettebø (forprosjekt sanering)</t>
  </si>
  <si>
    <t>Saneringsanlegg - Korsørveien</t>
  </si>
  <si>
    <t>Utskifting brannbiler/redningsbiler/tank</t>
  </si>
  <si>
    <t>Utskifting biler Feiervesen</t>
  </si>
  <si>
    <t>Grøne Bråden skole - nytt ventilasjonssystem</t>
  </si>
  <si>
    <t>Hellvik skole - nytt skolekjøkken</t>
  </si>
  <si>
    <t>Husabø u skole - Nytt tak + elektrotavle</t>
  </si>
  <si>
    <t>AMS-målere (strøm) i omsorgsboliger</t>
  </si>
  <si>
    <t>Egersundshallen - utskifting vindu + solavskjerming</t>
  </si>
  <si>
    <t>Rygleveien 1 - brannteknisk ombygging</t>
  </si>
  <si>
    <t>Blåsenborgveien avlastningsb - brannteknisk</t>
  </si>
  <si>
    <t>Moppevaskemaskiner - haller</t>
  </si>
  <si>
    <t>Gang.- og sykkelvei Hålå</t>
  </si>
  <si>
    <t>Ugressbekjemper - varmt vann</t>
  </si>
  <si>
    <t>Vinterparkering Mydland</t>
  </si>
  <si>
    <t>Sosiale tjenester generelt - stilling</t>
  </si>
  <si>
    <t>Avlastningsbolig Blåsenborg/Skogstjernen</t>
  </si>
  <si>
    <t>Sosiale tjenester generelt</t>
  </si>
  <si>
    <t>Opptrappingsplan for rusfeltet</t>
  </si>
  <si>
    <t>Styrke helsestasjon/skolehelsetj.</t>
  </si>
  <si>
    <t>Øyeblikkelig hjelp - endring</t>
  </si>
  <si>
    <t>Økt tilskudd til BPA</t>
  </si>
  <si>
    <t>Økte pensjonsutgifter for avd</t>
  </si>
  <si>
    <t>Rygleveien 1 - red 100% st</t>
  </si>
  <si>
    <t>3301 - 3311</t>
  </si>
  <si>
    <t>Ny naturfagtime</t>
  </si>
  <si>
    <t>Nasjonal mindrekrav foreldrebet.</t>
  </si>
  <si>
    <t>Gratis kjernetid barnehager</t>
  </si>
  <si>
    <t>50% st - Miljøterapeut til flyktningebarn</t>
  </si>
  <si>
    <t>Kjøp av ungdomskoleplasser Voksenoppl.</t>
  </si>
  <si>
    <t>Økte utgifter fosterhjem/institusjon</t>
  </si>
  <si>
    <t>Levekårsutvalg</t>
  </si>
  <si>
    <t>Konsulentkjøp</t>
  </si>
  <si>
    <t>Fast stilling landmåler + eiendomsskatt</t>
  </si>
  <si>
    <t>Selvkost - konsulentkjøp</t>
  </si>
  <si>
    <t>Nødnett/alarmsystem</t>
  </si>
  <si>
    <t>Parkeringinntekt</t>
  </si>
  <si>
    <t>Områderegulering EIE</t>
  </si>
  <si>
    <t>Revidering av arealdel kommuneplan</t>
  </si>
  <si>
    <t>Avsetning lønnspott for budsjett</t>
  </si>
  <si>
    <t>Bruk av driftsfond</t>
  </si>
  <si>
    <t>20%-st Heltidsprosjektet SP</t>
  </si>
  <si>
    <t>Områderegulering Kaupanes</t>
  </si>
  <si>
    <t>EN&amp;H KF</t>
  </si>
  <si>
    <t>Sykkelby-prosjektet</t>
  </si>
  <si>
    <t>Red. utgifter fyringsolje</t>
  </si>
  <si>
    <t>Driftsreduksjoner</t>
  </si>
  <si>
    <t>Plan ventilasjonsanlegg skolebygg</t>
  </si>
  <si>
    <t>Ombygging på 3ABC - raseringsikre rom</t>
  </si>
  <si>
    <t>Digitale tryggehetsalarmer</t>
  </si>
  <si>
    <t>Ny bolig Hestnes - egen sak</t>
  </si>
  <si>
    <t>Salg/refusjon bolig Hestnes</t>
  </si>
  <si>
    <t>Ny mur langs Skarpabråde</t>
  </si>
  <si>
    <t>Mur Sentralidrettsanlegget</t>
  </si>
  <si>
    <t>2xxx</t>
  </si>
  <si>
    <t>100%-st til Plankontoret - planlegger</t>
  </si>
  <si>
    <t xml:space="preserve">Prisøkning Voldtektsmottak </t>
  </si>
  <si>
    <t>Arbeidstøy - vask/drift - ikke private klær</t>
  </si>
  <si>
    <t>Boligsosialt velferdsprogram Husbanken</t>
  </si>
  <si>
    <t>100% st - Morsmål/tospråklig/Flykt.</t>
  </si>
  <si>
    <t>Økt antall elever i grunnskolene</t>
  </si>
  <si>
    <t>1 ny 100%-st undervisningsstilling Voksenoppl.</t>
  </si>
  <si>
    <t>Sykkelby - flyttet til HO</t>
  </si>
  <si>
    <t>Økte pensjonsutgifter avdelingene</t>
  </si>
  <si>
    <t>Turistinformasjon til EN&amp;H KF</t>
  </si>
  <si>
    <t>Vinterlandsbruksskolen</t>
  </si>
  <si>
    <t>TA</t>
  </si>
  <si>
    <t>Vinterlandbruksskolen</t>
  </si>
  <si>
    <t>Tilskudd Eigersund Historielag - bygdebok</t>
  </si>
  <si>
    <t>NYTT</t>
  </si>
  <si>
    <t>Lys tursti Hellvik - Maurholen</t>
  </si>
  <si>
    <t>Fellesforslag AP, H, FRP, SP</t>
  </si>
  <si>
    <t>Bruk av Tomteutviklingsfondet</t>
  </si>
  <si>
    <t>Spillemidler lys Hellvik - Maurholen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</si>
</sst>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_ ;_ * \-#,##0.00_ ;_ * \-??_ ;_ @_ "/>
    <numFmt numFmtId="165" formatCode="_ * #,##0_ ;_ * \-#,##0_ ;_ * \-??_ ;_ @_ "/>
  </numFmts>
  <fonts count="68" x14ac:knownFonts="1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i/>
      <sz val="7"/>
      <name val="Arial"/>
      <family val="2"/>
    </font>
    <font>
      <sz val="12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6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7" borderId="1" applyNumberFormat="0" applyAlignment="0" applyProtection="0"/>
    <xf numFmtId="0" fontId="50" fillId="0" borderId="0" applyNumberFormat="0" applyFill="0" applyBorder="0" applyProtection="0">
      <alignment horizontal="left"/>
    </xf>
    <xf numFmtId="0" fontId="55" fillId="0" borderId="2" applyNumberFormat="0" applyFill="0" applyAlignment="0" applyProtection="0"/>
    <xf numFmtId="0" fontId="56" fillId="17" borderId="3" applyNumberFormat="0" applyAlignment="0" applyProtection="0"/>
    <xf numFmtId="0" fontId="50" fillId="18" borderId="4" applyNumberFormat="0" applyAlignment="0" applyProtection="0"/>
    <xf numFmtId="0" fontId="46" fillId="0" borderId="0"/>
    <xf numFmtId="0" fontId="57" fillId="19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Protection="0">
      <alignment horizontal="left"/>
    </xf>
    <xf numFmtId="0" fontId="62" fillId="0" borderId="8" applyNumberFormat="0" applyFill="0" applyAlignment="0" applyProtection="0"/>
    <xf numFmtId="164" fontId="33" fillId="0" borderId="0" applyFill="0" applyBorder="0" applyAlignment="0" applyProtection="0"/>
    <xf numFmtId="0" fontId="63" fillId="16" borderId="9" applyNumberFormat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53">
    <xf numFmtId="0" fontId="0" fillId="0" borderId="0" xfId="0"/>
    <xf numFmtId="0" fontId="0" fillId="24" borderId="0" xfId="0" applyFont="1" applyFill="1"/>
    <xf numFmtId="0" fontId="0" fillId="24" borderId="0" xfId="0" applyFont="1" applyFill="1" applyAlignment="1">
      <alignment horizontal="left"/>
    </xf>
    <xf numFmtId="3" fontId="0" fillId="24" borderId="0" xfId="0" applyNumberFormat="1" applyFont="1" applyFill="1"/>
    <xf numFmtId="3" fontId="4" fillId="24" borderId="0" xfId="0" applyNumberFormat="1" applyFont="1" applyFill="1"/>
    <xf numFmtId="3" fontId="5" fillId="24" borderId="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3" fontId="6" fillId="24" borderId="10" xfId="0" applyNumberFormat="1" applyFont="1" applyFill="1" applyBorder="1"/>
    <xf numFmtId="3" fontId="7" fillId="24" borderId="10" xfId="0" applyNumberFormat="1" applyFont="1" applyFill="1" applyBorder="1"/>
    <xf numFmtId="3" fontId="8" fillId="24" borderId="10" xfId="0" applyNumberFormat="1" applyFont="1" applyFill="1" applyBorder="1" applyAlignment="1">
      <alignment horizontal="right"/>
    </xf>
    <xf numFmtId="0" fontId="9" fillId="24" borderId="0" xfId="0" applyFont="1" applyFill="1" applyBorder="1"/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/>
    <xf numFmtId="0" fontId="10" fillId="24" borderId="11" xfId="0" applyFont="1" applyFill="1" applyBorder="1"/>
    <xf numFmtId="0" fontId="10" fillId="24" borderId="12" xfId="0" applyFont="1" applyFill="1" applyBorder="1" applyAlignment="1">
      <alignment horizontal="left"/>
    </xf>
    <xf numFmtId="3" fontId="8" fillId="24" borderId="12" xfId="0" applyNumberFormat="1" applyFont="1" applyFill="1" applyBorder="1"/>
    <xf numFmtId="3" fontId="11" fillId="24" borderId="11" xfId="0" applyNumberFormat="1" applyFont="1" applyFill="1" applyBorder="1" applyAlignment="1">
      <alignment horizontal="center"/>
    </xf>
    <xf numFmtId="3" fontId="12" fillId="18" borderId="13" xfId="0" applyNumberFormat="1" applyFont="1" applyFill="1" applyBorder="1"/>
    <xf numFmtId="3" fontId="13" fillId="18" borderId="14" xfId="0" applyNumberFormat="1" applyFont="1" applyFill="1" applyBorder="1" applyAlignment="1">
      <alignment horizontal="left"/>
    </xf>
    <xf numFmtId="3" fontId="8" fillId="18" borderId="14" xfId="0" applyNumberFormat="1" applyFont="1" applyFill="1" applyBorder="1"/>
    <xf numFmtId="3" fontId="8" fillId="18" borderId="15" xfId="0" applyNumberFormat="1" applyFont="1" applyFill="1" applyBorder="1"/>
    <xf numFmtId="0" fontId="10" fillId="24" borderId="16" xfId="0" applyFont="1" applyFill="1" applyBorder="1"/>
    <xf numFmtId="0" fontId="10" fillId="24" borderId="17" xfId="0" applyFont="1" applyFill="1" applyBorder="1" applyAlignment="1">
      <alignment horizontal="center"/>
    </xf>
    <xf numFmtId="3" fontId="11" fillId="24" borderId="17" xfId="0" applyNumberFormat="1" applyFont="1" applyFill="1" applyBorder="1" applyAlignment="1">
      <alignment horizontal="center"/>
    </xf>
    <xf numFmtId="3" fontId="11" fillId="24" borderId="16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1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/>
    <xf numFmtId="3" fontId="8" fillId="18" borderId="20" xfId="0" applyNumberFormat="1" applyFont="1" applyFill="1" applyBorder="1"/>
    <xf numFmtId="0" fontId="14" fillId="24" borderId="21" xfId="0" applyFont="1" applyFill="1" applyBorder="1" applyAlignment="1">
      <alignment horizontal="left"/>
    </xf>
    <xf numFmtId="0" fontId="15" fillId="24" borderId="21" xfId="0" applyFont="1" applyFill="1" applyBorder="1" applyAlignment="1">
      <alignment horizontal="center"/>
    </xf>
    <xf numFmtId="1" fontId="11" fillId="24" borderId="19" xfId="0" applyNumberFormat="1" applyFont="1" applyFill="1" applyBorder="1" applyAlignment="1">
      <alignment horizontal="center"/>
    </xf>
    <xf numFmtId="1" fontId="11" fillId="24" borderId="22" xfId="0" applyNumberFormat="1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center"/>
    </xf>
    <xf numFmtId="1" fontId="11" fillId="18" borderId="25" xfId="0" applyNumberFormat="1" applyFont="1" applyFill="1" applyBorder="1" applyAlignment="1">
      <alignment horizontal="center"/>
    </xf>
    <xf numFmtId="0" fontId="16" fillId="24" borderId="26" xfId="0" applyFont="1" applyFill="1" applyBorder="1"/>
    <xf numFmtId="0" fontId="17" fillId="24" borderId="26" xfId="0" applyFont="1" applyFill="1" applyBorder="1" applyAlignment="1">
      <alignment horizontal="left"/>
    </xf>
    <xf numFmtId="3" fontId="17" fillId="24" borderId="26" xfId="0" applyNumberFormat="1" applyFont="1" applyFill="1" applyBorder="1"/>
    <xf numFmtId="3" fontId="17" fillId="4" borderId="27" xfId="0" applyNumberFormat="1" applyFont="1" applyFill="1" applyBorder="1"/>
    <xf numFmtId="3" fontId="17" fillId="18" borderId="28" xfId="0" applyNumberFormat="1" applyFont="1" applyFill="1" applyBorder="1"/>
    <xf numFmtId="37" fontId="17" fillId="0" borderId="29" xfId="0" applyNumberFormat="1" applyFont="1" applyFill="1" applyBorder="1"/>
    <xf numFmtId="0" fontId="17" fillId="24" borderId="30" xfId="0" applyFont="1" applyFill="1" applyBorder="1" applyAlignment="1">
      <alignment horizontal="center"/>
    </xf>
    <xf numFmtId="3" fontId="17" fillId="24" borderId="30" xfId="0" applyNumberFormat="1" applyFont="1" applyFill="1" applyBorder="1"/>
    <xf numFmtId="3" fontId="18" fillId="24" borderId="30" xfId="0" applyNumberFormat="1" applyFont="1" applyFill="1" applyBorder="1"/>
    <xf numFmtId="37" fontId="17" fillId="0" borderId="31" xfId="0" applyNumberFormat="1" applyFont="1" applyFill="1" applyBorder="1"/>
    <xf numFmtId="0" fontId="17" fillId="24" borderId="32" xfId="0" applyFont="1" applyFill="1" applyBorder="1" applyAlignment="1">
      <alignment horizontal="center"/>
    </xf>
    <xf numFmtId="3" fontId="17" fillId="24" borderId="32" xfId="0" applyNumberFormat="1" applyFont="1" applyFill="1" applyBorder="1"/>
    <xf numFmtId="165" fontId="17" fillId="18" borderId="31" xfId="40" applyNumberFormat="1" applyFont="1" applyFill="1" applyBorder="1" applyAlignment="1" applyProtection="1"/>
    <xf numFmtId="0" fontId="16" fillId="0" borderId="24" xfId="0" applyFont="1" applyFill="1" applyBorder="1"/>
    <xf numFmtId="0" fontId="16" fillId="24" borderId="24" xfId="0" applyFont="1" applyFill="1" applyBorder="1" applyAlignment="1">
      <alignment horizontal="center"/>
    </xf>
    <xf numFmtId="3" fontId="16" fillId="24" borderId="24" xfId="0" applyNumberFormat="1" applyFont="1" applyFill="1" applyBorder="1"/>
    <xf numFmtId="165" fontId="16" fillId="4" borderId="33" xfId="40" applyNumberFormat="1" applyFont="1" applyFill="1" applyBorder="1" applyAlignment="1" applyProtection="1">
      <alignment horizontal="right"/>
    </xf>
    <xf numFmtId="165" fontId="16" fillId="18" borderId="24" xfId="40" applyNumberFormat="1" applyFont="1" applyFill="1" applyBorder="1" applyAlignment="1" applyProtection="1"/>
    <xf numFmtId="0" fontId="17" fillId="0" borderId="26" xfId="0" applyFont="1" applyFill="1" applyBorder="1"/>
    <xf numFmtId="0" fontId="17" fillId="24" borderId="26" xfId="0" applyFont="1" applyFill="1" applyBorder="1" applyAlignment="1">
      <alignment horizontal="center"/>
    </xf>
    <xf numFmtId="165" fontId="17" fillId="18" borderId="26" xfId="40" applyNumberFormat="1" applyFont="1" applyFill="1" applyBorder="1" applyAlignment="1" applyProtection="1"/>
    <xf numFmtId="165" fontId="17" fillId="18" borderId="34" xfId="40" applyNumberFormat="1" applyFont="1" applyFill="1" applyBorder="1" applyAlignment="1" applyProtection="1"/>
    <xf numFmtId="0" fontId="16" fillId="0" borderId="32" xfId="0" applyFont="1" applyFill="1" applyBorder="1"/>
    <xf numFmtId="165" fontId="17" fillId="4" borderId="35" xfId="40" applyNumberFormat="1" applyFont="1" applyFill="1" applyBorder="1" applyAlignment="1" applyProtection="1"/>
    <xf numFmtId="0" fontId="17" fillId="0" borderId="29" xfId="0" applyFont="1" applyFill="1" applyBorder="1"/>
    <xf numFmtId="0" fontId="17" fillId="0" borderId="30" xfId="0" applyFont="1" applyFill="1" applyBorder="1" applyAlignment="1">
      <alignment horizontal="center"/>
    </xf>
    <xf numFmtId="3" fontId="17" fillId="0" borderId="30" xfId="0" applyNumberFormat="1" applyFont="1" applyFill="1" applyBorder="1"/>
    <xf numFmtId="37" fontId="16" fillId="4" borderId="36" xfId="0" applyNumberFormat="1" applyFont="1" applyFill="1" applyBorder="1"/>
    <xf numFmtId="37" fontId="16" fillId="18" borderId="25" xfId="0" applyNumberFormat="1" applyFont="1" applyFill="1" applyBorder="1"/>
    <xf numFmtId="3" fontId="17" fillId="18" borderId="34" xfId="0" applyNumberFormat="1" applyFont="1" applyFill="1" applyBorder="1"/>
    <xf numFmtId="0" fontId="16" fillId="0" borderId="26" xfId="0" applyFont="1" applyFill="1" applyBorder="1"/>
    <xf numFmtId="3" fontId="17" fillId="4" borderId="37" xfId="0" applyNumberFormat="1" applyFont="1" applyFill="1" applyBorder="1"/>
    <xf numFmtId="3" fontId="17" fillId="18" borderId="26" xfId="0" applyNumberFormat="1" applyFont="1" applyFill="1" applyBorder="1"/>
    <xf numFmtId="0" fontId="17" fillId="24" borderId="30" xfId="0" applyFont="1" applyFill="1" applyBorder="1"/>
    <xf numFmtId="3" fontId="17" fillId="4" borderId="38" xfId="0" applyNumberFormat="1" applyFont="1" applyFill="1" applyBorder="1"/>
    <xf numFmtId="3" fontId="17" fillId="18" borderId="29" xfId="0" applyNumberFormat="1" applyFont="1" applyFill="1" applyBorder="1"/>
    <xf numFmtId="0" fontId="17" fillId="24" borderId="32" xfId="0" applyFont="1" applyFill="1" applyBorder="1"/>
    <xf numFmtId="3" fontId="17" fillId="18" borderId="32" xfId="0" applyNumberFormat="1" applyFont="1" applyFill="1" applyBorder="1"/>
    <xf numFmtId="0" fontId="16" fillId="24" borderId="24" xfId="0" applyFont="1" applyFill="1" applyBorder="1"/>
    <xf numFmtId="3" fontId="16" fillId="4" borderId="33" xfId="0" applyNumberFormat="1" applyFont="1" applyFill="1" applyBorder="1"/>
    <xf numFmtId="3" fontId="16" fillId="18" borderId="24" xfId="0" applyNumberFormat="1" applyFont="1" applyFill="1" applyBorder="1"/>
    <xf numFmtId="3" fontId="16" fillId="18" borderId="25" xfId="0" applyNumberFormat="1" applyFont="1" applyFill="1" applyBorder="1"/>
    <xf numFmtId="0" fontId="17" fillId="24" borderId="26" xfId="0" applyFont="1" applyFill="1" applyBorder="1"/>
    <xf numFmtId="3" fontId="17" fillId="18" borderId="30" xfId="0" applyNumberFormat="1" applyFont="1" applyFill="1" applyBorder="1"/>
    <xf numFmtId="3" fontId="17" fillId="4" borderId="39" xfId="0" applyNumberFormat="1" applyFont="1" applyFill="1" applyBorder="1"/>
    <xf numFmtId="0" fontId="16" fillId="24" borderId="30" xfId="0" applyFont="1" applyFill="1" applyBorder="1"/>
    <xf numFmtId="3" fontId="17" fillId="24" borderId="30" xfId="0" applyNumberFormat="1" applyFont="1" applyFill="1" applyBorder="1" applyAlignment="1"/>
    <xf numFmtId="0" fontId="19" fillId="24" borderId="0" xfId="0" applyFont="1" applyFill="1"/>
    <xf numFmtId="3" fontId="17" fillId="24" borderId="32" xfId="0" applyNumberFormat="1" applyFont="1" applyFill="1" applyBorder="1" applyAlignment="1"/>
    <xf numFmtId="0" fontId="17" fillId="24" borderId="16" xfId="0" applyFont="1" applyFill="1" applyBorder="1"/>
    <xf numFmtId="3" fontId="17" fillId="24" borderId="16" xfId="0" applyNumberFormat="1" applyFont="1" applyFill="1" applyBorder="1"/>
    <xf numFmtId="3" fontId="17" fillId="18" borderId="16" xfId="0" applyNumberFormat="1" applyFont="1" applyFill="1" applyBorder="1"/>
    <xf numFmtId="3" fontId="17" fillId="18" borderId="17" xfId="0" applyNumberFormat="1" applyFont="1" applyFill="1" applyBorder="1"/>
    <xf numFmtId="0" fontId="16" fillId="24" borderId="40" xfId="0" applyFont="1" applyFill="1" applyBorder="1"/>
    <xf numFmtId="0" fontId="16" fillId="24" borderId="40" xfId="0" applyFont="1" applyFill="1" applyBorder="1" applyAlignment="1">
      <alignment horizontal="center"/>
    </xf>
    <xf numFmtId="3" fontId="16" fillId="24" borderId="40" xfId="0" applyNumberFormat="1" applyFont="1" applyFill="1" applyBorder="1"/>
    <xf numFmtId="3" fontId="16" fillId="24" borderId="41" xfId="0" applyNumberFormat="1" applyFont="1" applyFill="1" applyBorder="1"/>
    <xf numFmtId="3" fontId="16" fillId="18" borderId="40" xfId="0" applyNumberFormat="1" applyFont="1" applyFill="1" applyBorder="1"/>
    <xf numFmtId="0" fontId="6" fillId="7" borderId="24" xfId="0" applyFont="1" applyFill="1" applyBorder="1"/>
    <xf numFmtId="3" fontId="6" fillId="7" borderId="42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3" fontId="12" fillId="18" borderId="11" xfId="0" applyNumberFormat="1" applyFont="1" applyFill="1" applyBorder="1"/>
    <xf numFmtId="3" fontId="11" fillId="4" borderId="1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4" borderId="22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/>
    </xf>
    <xf numFmtId="3" fontId="16" fillId="0" borderId="34" xfId="0" applyNumberFormat="1" applyFont="1" applyFill="1" applyBorder="1"/>
    <xf numFmtId="3" fontId="16" fillId="4" borderId="0" xfId="0" applyNumberFormat="1" applyFont="1" applyFill="1"/>
    <xf numFmtId="3" fontId="16" fillId="18" borderId="43" xfId="0" applyNumberFormat="1" applyFont="1" applyFill="1" applyBorder="1"/>
    <xf numFmtId="3" fontId="16" fillId="18" borderId="28" xfId="0" applyNumberFormat="1" applyFont="1" applyFill="1" applyBorder="1"/>
    <xf numFmtId="3" fontId="16" fillId="0" borderId="26" xfId="0" applyNumberFormat="1" applyFont="1" applyFill="1" applyBorder="1"/>
    <xf numFmtId="3" fontId="17" fillId="4" borderId="29" xfId="0" applyNumberFormat="1" applyFont="1" applyFill="1" applyBorder="1"/>
    <xf numFmtId="3" fontId="16" fillId="18" borderId="34" xfId="0" applyNumberFormat="1" applyFont="1" applyFill="1" applyBorder="1"/>
    <xf numFmtId="3" fontId="17" fillId="24" borderId="44" xfId="0" applyNumberFormat="1" applyFont="1" applyFill="1" applyBorder="1"/>
    <xf numFmtId="0" fontId="17" fillId="0" borderId="30" xfId="0" applyFont="1" applyFill="1" applyBorder="1"/>
    <xf numFmtId="3" fontId="17" fillId="4" borderId="30" xfId="0" applyNumberFormat="1" applyFont="1" applyFill="1" applyBorder="1"/>
    <xf numFmtId="3" fontId="16" fillId="24" borderId="45" xfId="0" applyNumberFormat="1" applyFont="1" applyFill="1" applyBorder="1"/>
    <xf numFmtId="0" fontId="17" fillId="24" borderId="31" xfId="0" applyFont="1" applyFill="1" applyBorder="1"/>
    <xf numFmtId="0" fontId="17" fillId="24" borderId="46" xfId="0" applyFont="1" applyFill="1" applyBorder="1" applyAlignment="1">
      <alignment horizontal="center"/>
    </xf>
    <xf numFmtId="3" fontId="17" fillId="24" borderId="47" xfId="0" applyNumberFormat="1" applyFont="1" applyFill="1" applyBorder="1"/>
    <xf numFmtId="3" fontId="17" fillId="4" borderId="32" xfId="0" applyNumberFormat="1" applyFont="1" applyFill="1" applyBorder="1"/>
    <xf numFmtId="3" fontId="17" fillId="18" borderId="31" xfId="0" applyNumberFormat="1" applyFont="1" applyFill="1" applyBorder="1"/>
    <xf numFmtId="0" fontId="24" fillId="24" borderId="40" xfId="0" applyFont="1" applyFill="1" applyBorder="1"/>
    <xf numFmtId="0" fontId="24" fillId="24" borderId="40" xfId="0" applyFont="1" applyFill="1" applyBorder="1" applyAlignment="1">
      <alignment horizontal="center"/>
    </xf>
    <xf numFmtId="3" fontId="24" fillId="0" borderId="40" xfId="0" applyNumberFormat="1" applyFont="1" applyFill="1" applyBorder="1"/>
    <xf numFmtId="3" fontId="24" fillId="24" borderId="40" xfId="0" applyNumberFormat="1" applyFont="1" applyFill="1" applyBorder="1"/>
    <xf numFmtId="3" fontId="16" fillId="4" borderId="40" xfId="0" applyNumberFormat="1" applyFont="1" applyFill="1" applyBorder="1"/>
    <xf numFmtId="3" fontId="24" fillId="18" borderId="40" xfId="0" applyNumberFormat="1" applyFont="1" applyFill="1" applyBorder="1"/>
    <xf numFmtId="0" fontId="16" fillId="0" borderId="30" xfId="0" applyFont="1" applyFill="1" applyBorder="1"/>
    <xf numFmtId="3" fontId="17" fillId="0" borderId="26" xfId="0" applyNumberFormat="1" applyFont="1" applyFill="1" applyBorder="1"/>
    <xf numFmtId="3" fontId="16" fillId="24" borderId="26" xfId="0" applyNumberFormat="1" applyFont="1" applyFill="1" applyBorder="1"/>
    <xf numFmtId="3" fontId="16" fillId="4" borderId="34" xfId="0" applyNumberFormat="1" applyFont="1" applyFill="1" applyBorder="1"/>
    <xf numFmtId="3" fontId="17" fillId="4" borderId="34" xfId="0" applyNumberFormat="1" applyFont="1" applyFill="1" applyBorder="1"/>
    <xf numFmtId="3" fontId="16" fillId="24" borderId="30" xfId="0" applyNumberFormat="1" applyFont="1" applyFill="1" applyBorder="1"/>
    <xf numFmtId="3" fontId="16" fillId="4" borderId="30" xfId="0" applyNumberFormat="1" applyFont="1" applyFill="1" applyBorder="1"/>
    <xf numFmtId="3" fontId="16" fillId="18" borderId="29" xfId="0" applyNumberFormat="1" applyFont="1" applyFill="1" applyBorder="1"/>
    <xf numFmtId="0" fontId="26" fillId="24" borderId="0" xfId="0" applyFont="1" applyFill="1"/>
    <xf numFmtId="0" fontId="18" fillId="24" borderId="30" xfId="0" applyFont="1" applyFill="1" applyBorder="1"/>
    <xf numFmtId="3" fontId="24" fillId="4" borderId="40" xfId="0" applyNumberFormat="1" applyFont="1" applyFill="1" applyBorder="1"/>
    <xf numFmtId="3" fontId="16" fillId="0" borderId="43" xfId="0" applyNumberFormat="1" applyFont="1" applyFill="1" applyBorder="1"/>
    <xf numFmtId="3" fontId="16" fillId="4" borderId="28" xfId="0" applyNumberFormat="1" applyFont="1" applyFill="1" applyBorder="1"/>
    <xf numFmtId="3" fontId="17" fillId="24" borderId="48" xfId="0" applyNumberFormat="1" applyFont="1" applyFill="1" applyBorder="1"/>
    <xf numFmtId="3" fontId="17" fillId="4" borderId="26" xfId="0" applyNumberFormat="1" applyFont="1" applyFill="1" applyBorder="1"/>
    <xf numFmtId="3" fontId="27" fillId="24" borderId="10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3" fontId="17" fillId="4" borderId="49" xfId="0" applyNumberFormat="1" applyFont="1" applyFill="1" applyBorder="1"/>
    <xf numFmtId="0" fontId="16" fillId="24" borderId="30" xfId="0" applyFont="1" applyFill="1" applyBorder="1" applyAlignment="1">
      <alignment horizontal="center"/>
    </xf>
    <xf numFmtId="3" fontId="16" fillId="4" borderId="29" xfId="0" applyNumberFormat="1" applyFont="1" applyFill="1" applyBorder="1"/>
    <xf numFmtId="0" fontId="16" fillId="24" borderId="29" xfId="0" applyFont="1" applyFill="1" applyBorder="1"/>
    <xf numFmtId="0" fontId="28" fillId="24" borderId="10" xfId="0" applyFont="1" applyFill="1" applyBorder="1" applyAlignment="1">
      <alignment horizontal="left"/>
    </xf>
    <xf numFmtId="3" fontId="11" fillId="24" borderId="50" xfId="0" applyNumberFormat="1" applyFont="1" applyFill="1" applyBorder="1" applyAlignment="1">
      <alignment horizontal="center"/>
    </xf>
    <xf numFmtId="3" fontId="12" fillId="18" borderId="14" xfId="0" applyNumberFormat="1" applyFont="1" applyFill="1" applyBorder="1"/>
    <xf numFmtId="3" fontId="11" fillId="24" borderId="51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3" fontId="17" fillId="4" borderId="28" xfId="0" applyNumberFormat="1" applyFont="1" applyFill="1" applyBorder="1"/>
    <xf numFmtId="3" fontId="17" fillId="4" borderId="52" xfId="0" applyNumberFormat="1" applyFont="1" applyFill="1" applyBorder="1"/>
    <xf numFmtId="3" fontId="16" fillId="4" borderId="36" xfId="0" applyNumberFormat="1" applyFont="1" applyFill="1" applyBorder="1"/>
    <xf numFmtId="3" fontId="17" fillId="4" borderId="53" xfId="0" applyNumberFormat="1" applyFont="1" applyFill="1" applyBorder="1"/>
    <xf numFmtId="0" fontId="16" fillId="24" borderId="16" xfId="0" applyFont="1" applyFill="1" applyBorder="1"/>
    <xf numFmtId="3" fontId="16" fillId="24" borderId="16" xfId="0" applyNumberFormat="1" applyFont="1" applyFill="1" applyBorder="1"/>
    <xf numFmtId="3" fontId="16" fillId="4" borderId="53" xfId="0" applyNumberFormat="1" applyFont="1" applyFill="1" applyBorder="1"/>
    <xf numFmtId="3" fontId="16" fillId="18" borderId="16" xfId="0" applyNumberFormat="1" applyFont="1" applyFill="1" applyBorder="1"/>
    <xf numFmtId="3" fontId="16" fillId="18" borderId="17" xfId="0" applyNumberFormat="1" applyFont="1" applyFill="1" applyBorder="1"/>
    <xf numFmtId="3" fontId="17" fillId="4" borderId="54" xfId="0" applyNumberFormat="1" applyFont="1" applyFill="1" applyBorder="1"/>
    <xf numFmtId="3" fontId="17" fillId="4" borderId="55" xfId="0" applyNumberFormat="1" applyFont="1" applyFill="1" applyBorder="1"/>
    <xf numFmtId="3" fontId="16" fillId="4" borderId="56" xfId="0" applyNumberFormat="1" applyFont="1" applyFill="1" applyBorder="1"/>
    <xf numFmtId="3" fontId="16" fillId="4" borderId="38" xfId="0" applyNumberFormat="1" applyFont="1" applyFill="1" applyBorder="1"/>
    <xf numFmtId="165" fontId="16" fillId="0" borderId="24" xfId="40" applyNumberFormat="1" applyFont="1" applyFill="1" applyBorder="1" applyAlignment="1" applyProtection="1"/>
    <xf numFmtId="165" fontId="17" fillId="0" borderId="26" xfId="40" applyNumberFormat="1" applyFont="1" applyFill="1" applyBorder="1" applyAlignment="1" applyProtection="1"/>
    <xf numFmtId="165" fontId="17" fillId="0" borderId="32" xfId="40" applyNumberFormat="1" applyFont="1" applyFill="1" applyBorder="1" applyAlignment="1" applyProtection="1"/>
    <xf numFmtId="37" fontId="16" fillId="0" borderId="24" xfId="0" applyNumberFormat="1" applyFont="1" applyFill="1" applyBorder="1"/>
    <xf numFmtId="3" fontId="16" fillId="0" borderId="24" xfId="0" applyNumberFormat="1" applyFont="1" applyFill="1" applyBorder="1"/>
    <xf numFmtId="3" fontId="0" fillId="24" borderId="0" xfId="0" applyNumberFormat="1" applyFill="1"/>
    <xf numFmtId="3" fontId="0" fillId="24" borderId="0" xfId="0" applyNumberFormat="1" applyFill="1" applyAlignment="1">
      <alignment horizontal="right"/>
    </xf>
    <xf numFmtId="0" fontId="7" fillId="24" borderId="0" xfId="0" applyFont="1" applyFill="1"/>
    <xf numFmtId="0" fontId="7" fillId="24" borderId="0" xfId="0" applyFont="1" applyFill="1" applyAlignment="1">
      <alignment horizontal="center"/>
    </xf>
    <xf numFmtId="3" fontId="7" fillId="24" borderId="0" xfId="0" applyNumberFormat="1" applyFont="1" applyFill="1"/>
    <xf numFmtId="3" fontId="17" fillId="24" borderId="0" xfId="0" applyNumberFormat="1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/>
    </xf>
    <xf numFmtId="3" fontId="29" fillId="24" borderId="10" xfId="0" applyNumberFormat="1" applyFont="1" applyFill="1" applyBorder="1"/>
    <xf numFmtId="0" fontId="11" fillId="24" borderId="0" xfId="0" applyFont="1" applyFill="1" applyBorder="1"/>
    <xf numFmtId="0" fontId="7" fillId="24" borderId="0" xfId="0" applyFont="1" applyFill="1" applyBorder="1" applyAlignment="1">
      <alignment horizontal="center"/>
    </xf>
    <xf numFmtId="3" fontId="7" fillId="24" borderId="0" xfId="0" applyNumberFormat="1" applyFont="1" applyFill="1" applyBorder="1"/>
    <xf numFmtId="0" fontId="8" fillId="24" borderId="11" xfId="0" applyFont="1" applyFill="1" applyBorder="1"/>
    <xf numFmtId="0" fontId="8" fillId="24" borderId="12" xfId="0" applyFont="1" applyFill="1" applyBorder="1" applyAlignment="1">
      <alignment horizontal="center"/>
    </xf>
    <xf numFmtId="0" fontId="8" fillId="24" borderId="16" xfId="0" applyFont="1" applyFill="1" applyBorder="1"/>
    <xf numFmtId="0" fontId="8" fillId="24" borderId="17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3" fontId="16" fillId="0" borderId="40" xfId="0" applyNumberFormat="1" applyFont="1" applyFill="1" applyBorder="1"/>
    <xf numFmtId="3" fontId="17" fillId="24" borderId="57" xfId="0" applyNumberFormat="1" applyFont="1" applyFill="1" applyBorder="1"/>
    <xf numFmtId="0" fontId="18" fillId="24" borderId="30" xfId="0" applyNumberFormat="1" applyFont="1" applyFill="1" applyBorder="1"/>
    <xf numFmtId="0" fontId="17" fillId="24" borderId="30" xfId="0" applyNumberFormat="1" applyFont="1" applyFill="1" applyBorder="1"/>
    <xf numFmtId="0" fontId="17" fillId="24" borderId="31" xfId="0" applyNumberFormat="1" applyFont="1" applyFill="1" applyBorder="1"/>
    <xf numFmtId="0" fontId="16" fillId="24" borderId="16" xfId="0" applyFont="1" applyFill="1" applyBorder="1" applyAlignment="1">
      <alignment horizontal="center"/>
    </xf>
    <xf numFmtId="3" fontId="30" fillId="24" borderId="0" xfId="0" applyNumberFormat="1" applyFont="1" applyFill="1"/>
    <xf numFmtId="0" fontId="4" fillId="0" borderId="0" xfId="0" applyFont="1" applyFill="1"/>
    <xf numFmtId="0" fontId="31" fillId="24" borderId="0" xfId="0" applyFont="1" applyFill="1"/>
    <xf numFmtId="0" fontId="32" fillId="24" borderId="0" xfId="0" applyFont="1" applyFill="1"/>
    <xf numFmtId="0" fontId="33" fillId="24" borderId="0" xfId="0" applyFont="1" applyFill="1"/>
    <xf numFmtId="37" fontId="16" fillId="18" borderId="58" xfId="0" applyNumberFormat="1" applyFont="1" applyFill="1" applyBorder="1"/>
    <xf numFmtId="3" fontId="17" fillId="18" borderId="59" xfId="0" applyNumberFormat="1" applyFont="1" applyFill="1" applyBorder="1"/>
    <xf numFmtId="3" fontId="16" fillId="24" borderId="60" xfId="0" applyNumberFormat="1" applyFont="1" applyFill="1" applyBorder="1"/>
    <xf numFmtId="165" fontId="16" fillId="18" borderId="62" xfId="40" applyNumberFormat="1" applyFont="1" applyFill="1" applyBorder="1" applyAlignment="1" applyProtection="1"/>
    <xf numFmtId="0" fontId="18" fillId="24" borderId="30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165" fontId="16" fillId="24" borderId="24" xfId="40" applyNumberFormat="1" applyFont="1" applyFill="1" applyBorder="1" applyAlignment="1" applyProtection="1">
      <alignment horizontal="center"/>
    </xf>
    <xf numFmtId="165" fontId="16" fillId="24" borderId="40" xfId="40" applyNumberFormat="1" applyFont="1" applyFill="1" applyBorder="1" applyAlignment="1" applyProtection="1">
      <alignment horizontal="center"/>
    </xf>
    <xf numFmtId="0" fontId="16" fillId="24" borderId="29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3" fontId="18" fillId="0" borderId="26" xfId="0" applyNumberFormat="1" applyFont="1" applyFill="1" applyBorder="1"/>
    <xf numFmtId="0" fontId="0" fillId="24" borderId="0" xfId="0" applyFill="1"/>
    <xf numFmtId="0" fontId="34" fillId="25" borderId="0" xfId="0" applyFont="1" applyFill="1"/>
    <xf numFmtId="0" fontId="3" fillId="25" borderId="0" xfId="0" applyFont="1" applyFill="1" applyAlignment="1">
      <alignment horizontal="left"/>
    </xf>
    <xf numFmtId="3" fontId="3" fillId="25" borderId="0" xfId="0" applyNumberFormat="1" applyFont="1" applyFill="1"/>
    <xf numFmtId="0" fontId="3" fillId="25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left"/>
    </xf>
    <xf numFmtId="3" fontId="35" fillId="25" borderId="0" xfId="0" applyNumberFormat="1" applyFont="1" applyFill="1"/>
    <xf numFmtId="0" fontId="5" fillId="25" borderId="0" xfId="0" applyFont="1" applyFill="1" applyAlignment="1">
      <alignment horizontal="left"/>
    </xf>
    <xf numFmtId="3" fontId="37" fillId="25" borderId="0" xfId="0" applyNumberFormat="1" applyFont="1" applyFill="1"/>
    <xf numFmtId="3" fontId="6" fillId="25" borderId="0" xfId="0" applyNumberFormat="1" applyFont="1" applyFill="1"/>
    <xf numFmtId="0" fontId="38" fillId="25" borderId="0" xfId="0" applyFont="1" applyFill="1" applyAlignment="1">
      <alignment horizontal="left"/>
    </xf>
    <xf numFmtId="3" fontId="3" fillId="26" borderId="63" xfId="0" applyNumberFormat="1" applyFont="1" applyFill="1" applyBorder="1"/>
    <xf numFmtId="3" fontId="3" fillId="26" borderId="64" xfId="0" applyNumberFormat="1" applyFont="1" applyFill="1" applyBorder="1"/>
    <xf numFmtId="0" fontId="3" fillId="26" borderId="63" xfId="0" applyFont="1" applyFill="1" applyBorder="1" applyAlignment="1">
      <alignment horizontal="left"/>
    </xf>
    <xf numFmtId="3" fontId="3" fillId="26" borderId="65" xfId="0" applyNumberFormat="1" applyFont="1" applyFill="1" applyBorder="1"/>
    <xf numFmtId="3" fontId="3" fillId="26" borderId="66" xfId="0" applyNumberFormat="1" applyFont="1" applyFill="1" applyBorder="1"/>
    <xf numFmtId="0" fontId="3" fillId="26" borderId="65" xfId="0" applyFont="1" applyFill="1" applyBorder="1" applyAlignment="1">
      <alignment horizontal="left"/>
    </xf>
    <xf numFmtId="0" fontId="3" fillId="26" borderId="67" xfId="0" applyFont="1" applyFill="1" applyBorder="1" applyAlignment="1">
      <alignment horizontal="left"/>
    </xf>
    <xf numFmtId="3" fontId="3" fillId="26" borderId="68" xfId="0" applyNumberFormat="1" applyFont="1" applyFill="1" applyBorder="1"/>
    <xf numFmtId="3" fontId="3" fillId="26" borderId="67" xfId="0" applyNumberFormat="1" applyFont="1" applyFill="1" applyBorder="1"/>
    <xf numFmtId="3" fontId="5" fillId="25" borderId="0" xfId="0" applyNumberFormat="1" applyFont="1" applyFill="1" applyBorder="1" applyAlignment="1">
      <alignment horizontal="right"/>
    </xf>
    <xf numFmtId="0" fontId="22" fillId="25" borderId="69" xfId="0" applyFont="1" applyFill="1" applyBorder="1" applyAlignment="1">
      <alignment horizontal="left"/>
    </xf>
    <xf numFmtId="0" fontId="6" fillId="25" borderId="69" xfId="0" applyFont="1" applyFill="1" applyBorder="1" applyAlignment="1">
      <alignment horizontal="left"/>
    </xf>
    <xf numFmtId="3" fontId="6" fillId="25" borderId="69" xfId="0" applyNumberFormat="1" applyFont="1" applyFill="1" applyBorder="1"/>
    <xf numFmtId="3" fontId="7" fillId="25" borderId="69" xfId="0" applyNumberFormat="1" applyFont="1" applyFill="1" applyBorder="1"/>
    <xf numFmtId="3" fontId="8" fillId="25" borderId="69" xfId="0" applyNumberFormat="1" applyFont="1" applyFill="1" applyBorder="1" applyAlignment="1">
      <alignment horizontal="right"/>
    </xf>
    <xf numFmtId="0" fontId="9" fillId="25" borderId="0" xfId="0" applyFont="1" applyFill="1" applyBorder="1"/>
    <xf numFmtId="0" fontId="3" fillId="25" borderId="0" xfId="0" applyFont="1" applyFill="1" applyBorder="1" applyAlignment="1">
      <alignment horizontal="left"/>
    </xf>
    <xf numFmtId="3" fontId="3" fillId="25" borderId="0" xfId="0" applyNumberFormat="1" applyFont="1" applyFill="1" applyBorder="1"/>
    <xf numFmtId="0" fontId="10" fillId="25" borderId="63" xfId="0" applyFont="1" applyFill="1" applyBorder="1"/>
    <xf numFmtId="0" fontId="10" fillId="25" borderId="70" xfId="0" applyFont="1" applyFill="1" applyBorder="1" applyAlignment="1">
      <alignment horizontal="left"/>
    </xf>
    <xf numFmtId="3" fontId="11" fillId="25" borderId="63" xfId="0" applyNumberFormat="1" applyFont="1" applyFill="1" applyBorder="1" applyAlignment="1">
      <alignment horizontal="center"/>
    </xf>
    <xf numFmtId="3" fontId="12" fillId="27" borderId="63" xfId="0" applyNumberFormat="1" applyFont="1" applyFill="1" applyBorder="1"/>
    <xf numFmtId="3" fontId="13" fillId="27" borderId="71" xfId="0" applyNumberFormat="1" applyFont="1" applyFill="1" applyBorder="1" applyAlignment="1">
      <alignment horizontal="left"/>
    </xf>
    <xf numFmtId="3" fontId="8" fillId="27" borderId="71" xfId="0" applyNumberFormat="1" applyFont="1" applyFill="1" applyBorder="1"/>
    <xf numFmtId="3" fontId="8" fillId="27" borderId="64" xfId="0" applyNumberFormat="1" applyFont="1" applyFill="1" applyBorder="1"/>
    <xf numFmtId="0" fontId="10" fillId="25" borderId="65" xfId="0" applyFont="1" applyFill="1" applyBorder="1"/>
    <xf numFmtId="0" fontId="10" fillId="25" borderId="72" xfId="0" applyFont="1" applyFill="1" applyBorder="1" applyAlignment="1">
      <alignment horizontal="center"/>
    </xf>
    <xf numFmtId="3" fontId="11" fillId="25" borderId="65" xfId="0" applyNumberFormat="1" applyFont="1" applyFill="1" applyBorder="1" applyAlignment="1">
      <alignment horizontal="center"/>
    </xf>
    <xf numFmtId="3" fontId="11" fillId="28" borderId="70" xfId="0" applyNumberFormat="1" applyFont="1" applyFill="1" applyBorder="1" applyAlignment="1">
      <alignment horizontal="center"/>
    </xf>
    <xf numFmtId="3" fontId="11" fillId="27" borderId="73" xfId="0" applyNumberFormat="1" applyFont="1" applyFill="1" applyBorder="1" applyAlignment="1">
      <alignment horizontal="right"/>
    </xf>
    <xf numFmtId="3" fontId="8" fillId="27" borderId="73" xfId="0" applyNumberFormat="1" applyFont="1" applyFill="1" applyBorder="1"/>
    <xf numFmtId="3" fontId="8" fillId="27" borderId="68" xfId="0" applyNumberFormat="1" applyFont="1" applyFill="1" applyBorder="1"/>
    <xf numFmtId="0" fontId="14" fillId="25" borderId="74" xfId="0" applyFont="1" applyFill="1" applyBorder="1" applyAlignment="1">
      <alignment horizontal="left"/>
    </xf>
    <xf numFmtId="0" fontId="15" fillId="25" borderId="74" xfId="0" applyFont="1" applyFill="1" applyBorder="1" applyAlignment="1">
      <alignment horizontal="center"/>
    </xf>
    <xf numFmtId="1" fontId="11" fillId="0" borderId="67" xfId="0" applyNumberFormat="1" applyFont="1" applyFill="1" applyBorder="1" applyAlignment="1">
      <alignment horizontal="center"/>
    </xf>
    <xf numFmtId="1" fontId="11" fillId="25" borderId="67" xfId="0" applyNumberFormat="1" applyFont="1" applyFill="1" applyBorder="1" applyAlignment="1">
      <alignment horizontal="center"/>
    </xf>
    <xf numFmtId="1" fontId="11" fillId="28" borderId="67" xfId="0" applyNumberFormat="1" applyFont="1" applyFill="1" applyBorder="1" applyAlignment="1">
      <alignment horizontal="center"/>
    </xf>
    <xf numFmtId="1" fontId="11" fillId="27" borderId="75" xfId="0" applyNumberFormat="1" applyFont="1" applyFill="1" applyBorder="1" applyAlignment="1">
      <alignment horizontal="center"/>
    </xf>
    <xf numFmtId="1" fontId="11" fillId="27" borderId="62" xfId="0" applyNumberFormat="1" applyFont="1" applyFill="1" applyBorder="1" applyAlignment="1">
      <alignment horizontal="center"/>
    </xf>
    <xf numFmtId="0" fontId="16" fillId="25" borderId="76" xfId="0" applyFont="1" applyFill="1" applyBorder="1"/>
    <xf numFmtId="0" fontId="16" fillId="25" borderId="76" xfId="0" applyFont="1" applyFill="1" applyBorder="1" applyAlignment="1">
      <alignment horizontal="center"/>
    </xf>
    <xf numFmtId="3" fontId="16" fillId="0" borderId="77" xfId="0" applyNumberFormat="1" applyFont="1" applyFill="1" applyBorder="1"/>
    <xf numFmtId="3" fontId="16" fillId="25" borderId="78" xfId="0" applyNumberFormat="1" applyFont="1" applyFill="1" applyBorder="1"/>
    <xf numFmtId="3" fontId="16" fillId="28" borderId="0" xfId="0" applyNumberFormat="1" applyFont="1" applyFill="1"/>
    <xf numFmtId="3" fontId="16" fillId="27" borderId="79" xfId="0" applyNumberFormat="1" applyFont="1" applyFill="1" applyBorder="1"/>
    <xf numFmtId="3" fontId="16" fillId="27" borderId="80" xfId="0" applyNumberFormat="1" applyFont="1" applyFill="1" applyBorder="1"/>
    <xf numFmtId="3" fontId="17" fillId="0" borderId="81" xfId="0" applyNumberFormat="1" applyFont="1" applyFill="1" applyBorder="1"/>
    <xf numFmtId="3" fontId="17" fillId="25" borderId="82" xfId="0" applyNumberFormat="1" applyFont="1" applyFill="1" applyBorder="1"/>
    <xf numFmtId="3" fontId="17" fillId="28" borderId="81" xfId="0" applyNumberFormat="1" applyFont="1" applyFill="1" applyBorder="1"/>
    <xf numFmtId="3" fontId="17" fillId="27" borderId="83" xfId="0" applyNumberFormat="1" applyFont="1" applyFill="1" applyBorder="1"/>
    <xf numFmtId="3" fontId="17" fillId="27" borderId="80" xfId="0" applyNumberFormat="1" applyFont="1" applyFill="1" applyBorder="1"/>
    <xf numFmtId="0" fontId="17" fillId="25" borderId="76" xfId="0" applyFont="1" applyFill="1" applyBorder="1"/>
    <xf numFmtId="0" fontId="17" fillId="25" borderId="76" xfId="0" applyFont="1" applyFill="1" applyBorder="1" applyAlignment="1">
      <alignment horizontal="center"/>
    </xf>
    <xf numFmtId="3" fontId="17" fillId="0" borderId="84" xfId="0" applyNumberFormat="1" applyFont="1" applyFill="1" applyBorder="1"/>
    <xf numFmtId="3" fontId="16" fillId="0" borderId="62" xfId="0" applyNumberFormat="1" applyFont="1" applyFill="1" applyBorder="1"/>
    <xf numFmtId="3" fontId="17" fillId="0" borderId="76" xfId="0" applyNumberFormat="1" applyFont="1" applyFill="1" applyBorder="1"/>
    <xf numFmtId="0" fontId="23" fillId="25" borderId="81" xfId="0" applyFont="1" applyFill="1" applyBorder="1"/>
    <xf numFmtId="0" fontId="17" fillId="25" borderId="81" xfId="0" applyFont="1" applyFill="1" applyBorder="1" applyAlignment="1">
      <alignment horizontal="center"/>
    </xf>
    <xf numFmtId="0" fontId="17" fillId="25" borderId="81" xfId="0" applyFont="1" applyFill="1" applyBorder="1"/>
    <xf numFmtId="0" fontId="24" fillId="25" borderId="85" xfId="0" applyFont="1" applyFill="1" applyBorder="1"/>
    <xf numFmtId="0" fontId="24" fillId="25" borderId="86" xfId="0" applyFont="1" applyFill="1" applyBorder="1" applyAlignment="1">
      <alignment horizontal="left"/>
    </xf>
    <xf numFmtId="3" fontId="24" fillId="0" borderId="87" xfId="0" applyNumberFormat="1" applyFont="1" applyFill="1" applyBorder="1"/>
    <xf numFmtId="3" fontId="24" fillId="25" borderId="86" xfId="0" applyNumberFormat="1" applyFont="1" applyFill="1" applyBorder="1"/>
    <xf numFmtId="3" fontId="16" fillId="28" borderId="88" xfId="0" applyNumberFormat="1" applyFont="1" applyFill="1" applyBorder="1"/>
    <xf numFmtId="3" fontId="24" fillId="27" borderId="89" xfId="0" applyNumberFormat="1" applyFont="1" applyFill="1" applyBorder="1"/>
    <xf numFmtId="3" fontId="24" fillId="27" borderId="87" xfId="0" applyNumberFormat="1" applyFont="1" applyFill="1" applyBorder="1"/>
    <xf numFmtId="3" fontId="17" fillId="24" borderId="90" xfId="0" applyNumberFormat="1" applyFont="1" applyFill="1" applyBorder="1"/>
    <xf numFmtId="3" fontId="17" fillId="4" borderId="31" xfId="0" applyNumberFormat="1" applyFont="1" applyFill="1" applyBorder="1"/>
    <xf numFmtId="37" fontId="17" fillId="0" borderId="91" xfId="0" applyNumberFormat="1" applyFont="1" applyFill="1" applyBorder="1"/>
    <xf numFmtId="165" fontId="17" fillId="0" borderId="32" xfId="40" applyNumberFormat="1" applyFont="1" applyFill="1" applyBorder="1" applyAlignment="1" applyProtection="1">
      <alignment horizontal="right"/>
    </xf>
    <xf numFmtId="1" fontId="17" fillId="24" borderId="3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24" fillId="24" borderId="41" xfId="0" applyFont="1" applyFill="1" applyBorder="1"/>
    <xf numFmtId="0" fontId="24" fillId="24" borderId="92" xfId="0" applyFont="1" applyFill="1" applyBorder="1" applyAlignment="1">
      <alignment horizontal="center"/>
    </xf>
    <xf numFmtId="0" fontId="43" fillId="24" borderId="0" xfId="0" applyFont="1" applyFill="1" applyBorder="1"/>
    <xf numFmtId="0" fontId="44" fillId="24" borderId="0" xfId="0" applyFont="1" applyFill="1" applyBorder="1" applyAlignment="1">
      <alignment horizontal="center"/>
    </xf>
    <xf numFmtId="3" fontId="44" fillId="24" borderId="0" xfId="0" applyNumberFormat="1" applyFont="1" applyFill="1" applyBorder="1"/>
    <xf numFmtId="0" fontId="44" fillId="24" borderId="0" xfId="0" applyFont="1" applyFill="1"/>
    <xf numFmtId="0" fontId="45" fillId="24" borderId="0" xfId="0" applyFont="1" applyFill="1"/>
    <xf numFmtId="0" fontId="45" fillId="24" borderId="0" xfId="0" applyFont="1" applyFill="1" applyAlignment="1">
      <alignment horizontal="center"/>
    </xf>
    <xf numFmtId="3" fontId="45" fillId="24" borderId="0" xfId="0" applyNumberFormat="1" applyFont="1" applyFill="1"/>
    <xf numFmtId="3" fontId="45" fillId="24" borderId="0" xfId="0" applyNumberFormat="1" applyFont="1" applyFill="1" applyBorder="1" applyAlignment="1">
      <alignment horizontal="right"/>
    </xf>
    <xf numFmtId="0" fontId="16" fillId="24" borderId="32" xfId="0" applyFont="1" applyFill="1" applyBorder="1" applyAlignment="1">
      <alignment horizontal="center"/>
    </xf>
    <xf numFmtId="3" fontId="16" fillId="4" borderId="31" xfId="0" applyNumberFormat="1" applyFont="1" applyFill="1" applyBorder="1"/>
    <xf numFmtId="3" fontId="16" fillId="4" borderId="93" xfId="0" applyNumberFormat="1" applyFont="1" applyFill="1" applyBorder="1"/>
    <xf numFmtId="3" fontId="17" fillId="18" borderId="94" xfId="0" applyNumberFormat="1" applyFont="1" applyFill="1" applyBorder="1"/>
    <xf numFmtId="3" fontId="16" fillId="29" borderId="40" xfId="0" applyNumberFormat="1" applyFont="1" applyFill="1" applyBorder="1"/>
    <xf numFmtId="1" fontId="17" fillId="24" borderId="30" xfId="40" applyNumberFormat="1" applyFont="1" applyFill="1" applyBorder="1" applyAlignment="1" applyProtection="1">
      <alignment horizontal="center"/>
    </xf>
    <xf numFmtId="3" fontId="25" fillId="24" borderId="16" xfId="0" applyNumberFormat="1" applyFont="1" applyFill="1" applyBorder="1"/>
    <xf numFmtId="3" fontId="16" fillId="24" borderId="95" xfId="0" applyNumberFormat="1" applyFont="1" applyFill="1" applyBorder="1"/>
    <xf numFmtId="3" fontId="17" fillId="0" borderId="29" xfId="0" applyNumberFormat="1" applyFont="1" applyFill="1" applyBorder="1"/>
    <xf numFmtId="3" fontId="17" fillId="24" borderId="29" xfId="0" applyNumberFormat="1" applyFont="1" applyFill="1" applyBorder="1"/>
    <xf numFmtId="3" fontId="17" fillId="0" borderId="96" xfId="0" applyNumberFormat="1" applyFont="1" applyFill="1" applyBorder="1"/>
    <xf numFmtId="0" fontId="10" fillId="24" borderId="97" xfId="0" applyFont="1" applyFill="1" applyBorder="1"/>
    <xf numFmtId="0" fontId="10" fillId="24" borderId="65" xfId="0" applyFont="1" applyFill="1" applyBorder="1"/>
    <xf numFmtId="0" fontId="14" fillId="24" borderId="98" xfId="0" applyFont="1" applyFill="1" applyBorder="1" applyAlignment="1">
      <alignment horizontal="left"/>
    </xf>
    <xf numFmtId="0" fontId="16" fillId="24" borderId="99" xfId="0" applyFont="1" applyFill="1" applyBorder="1"/>
    <xf numFmtId="0" fontId="16" fillId="24" borderId="100" xfId="0" applyFont="1" applyFill="1" applyBorder="1"/>
    <xf numFmtId="0" fontId="17" fillId="24" borderId="102" xfId="0" applyFont="1" applyFill="1" applyBorder="1"/>
    <xf numFmtId="0" fontId="17" fillId="0" borderId="103" xfId="30" applyFont="1" applyFill="1" applyBorder="1"/>
    <xf numFmtId="0" fontId="17" fillId="24" borderId="103" xfId="0" applyFont="1" applyFill="1" applyBorder="1"/>
    <xf numFmtId="0" fontId="16" fillId="24" borderId="103" xfId="0" applyFont="1" applyFill="1" applyBorder="1"/>
    <xf numFmtId="0" fontId="17" fillId="0" borderId="26" xfId="0" applyFont="1" applyFill="1" applyBorder="1" applyAlignment="1">
      <alignment horizontal="center"/>
    </xf>
    <xf numFmtId="3" fontId="65" fillId="24" borderId="10" xfId="0" applyNumberFormat="1" applyFont="1" applyFill="1" applyBorder="1" applyAlignment="1">
      <alignment horizontal="right"/>
    </xf>
    <xf numFmtId="0" fontId="17" fillId="24" borderId="104" xfId="0" applyFont="1" applyFill="1" applyBorder="1"/>
    <xf numFmtId="1" fontId="17" fillId="24" borderId="26" xfId="0" applyNumberFormat="1" applyFont="1" applyFill="1" applyBorder="1" applyAlignment="1">
      <alignment horizontal="center"/>
    </xf>
    <xf numFmtId="3" fontId="17" fillId="24" borderId="31" xfId="0" applyNumberFormat="1" applyFont="1" applyFill="1" applyBorder="1"/>
    <xf numFmtId="3" fontId="17" fillId="24" borderId="30" xfId="0" applyNumberFormat="1" applyFont="1" applyFill="1" applyBorder="1" applyAlignment="1">
      <alignment horizontal="right"/>
    </xf>
    <xf numFmtId="1" fontId="17" fillId="0" borderId="30" xfId="40" applyNumberFormat="1" applyFont="1" applyFill="1" applyBorder="1" applyAlignment="1" applyProtection="1">
      <alignment horizontal="center"/>
    </xf>
    <xf numFmtId="3" fontId="17" fillId="0" borderId="44" xfId="0" applyNumberFormat="1" applyFont="1" applyFill="1" applyBorder="1"/>
    <xf numFmtId="3" fontId="16" fillId="24" borderId="88" xfId="0" applyNumberFormat="1" applyFont="1" applyFill="1" applyBorder="1"/>
    <xf numFmtId="3" fontId="16" fillId="24" borderId="105" xfId="0" applyNumberFormat="1" applyFont="1" applyFill="1" applyBorder="1"/>
    <xf numFmtId="0" fontId="17" fillId="24" borderId="100" xfId="0" applyFont="1" applyFill="1" applyBorder="1"/>
    <xf numFmtId="3" fontId="17" fillId="0" borderId="32" xfId="40" applyNumberFormat="1" applyFont="1" applyFill="1" applyBorder="1" applyAlignment="1" applyProtection="1"/>
    <xf numFmtId="1" fontId="11" fillId="4" borderId="19" xfId="0" applyNumberFormat="1" applyFont="1" applyFill="1" applyBorder="1" applyAlignment="1">
      <alignment horizontal="center"/>
    </xf>
    <xf numFmtId="1" fontId="11" fillId="0" borderId="106" xfId="0" applyNumberFormat="1" applyFont="1" applyFill="1" applyBorder="1" applyAlignment="1">
      <alignment horizontal="center"/>
    </xf>
    <xf numFmtId="0" fontId="17" fillId="0" borderId="32" xfId="0" applyFont="1" applyFill="1" applyBorder="1"/>
    <xf numFmtId="3" fontId="17" fillId="0" borderId="30" xfId="0" applyNumberFormat="1" applyFont="1" applyFill="1" applyBorder="1" applyAlignment="1">
      <alignment horizontal="right"/>
    </xf>
    <xf numFmtId="3" fontId="17" fillId="4" borderId="39" xfId="0" applyNumberFormat="1" applyFont="1" applyFill="1" applyBorder="1" applyAlignment="1">
      <alignment horizontal="right"/>
    </xf>
    <xf numFmtId="3" fontId="17" fillId="18" borderId="30" xfId="0" applyNumberFormat="1" applyFont="1" applyFill="1" applyBorder="1" applyAlignment="1">
      <alignment horizontal="right"/>
    </xf>
    <xf numFmtId="3" fontId="17" fillId="18" borderId="94" xfId="0" applyNumberFormat="1" applyFont="1" applyFill="1" applyBorder="1" applyAlignment="1">
      <alignment horizontal="right"/>
    </xf>
    <xf numFmtId="3" fontId="17" fillId="18" borderId="29" xfId="0" applyNumberFormat="1" applyFont="1" applyFill="1" applyBorder="1" applyAlignment="1">
      <alignment horizontal="right"/>
    </xf>
    <xf numFmtId="3" fontId="17" fillId="24" borderId="32" xfId="0" applyNumberFormat="1" applyFont="1" applyFill="1" applyBorder="1" applyAlignment="1">
      <alignment horizontal="right"/>
    </xf>
    <xf numFmtId="3" fontId="17" fillId="4" borderId="35" xfId="0" applyNumberFormat="1" applyFont="1" applyFill="1" applyBorder="1" applyAlignment="1">
      <alignment horizontal="right"/>
    </xf>
    <xf numFmtId="3" fontId="17" fillId="18" borderId="107" xfId="0" applyNumberFormat="1" applyFont="1" applyFill="1" applyBorder="1" applyAlignment="1">
      <alignment horizontal="right"/>
    </xf>
    <xf numFmtId="3" fontId="16" fillId="24" borderId="24" xfId="0" applyNumberFormat="1" applyFont="1" applyFill="1" applyBorder="1" applyAlignment="1">
      <alignment horizontal="right"/>
    </xf>
    <xf numFmtId="3" fontId="16" fillId="4" borderId="33" xfId="0" applyNumberFormat="1" applyFont="1" applyFill="1" applyBorder="1" applyAlignment="1">
      <alignment horizontal="right"/>
    </xf>
    <xf numFmtId="3" fontId="16" fillId="18" borderId="24" xfId="0" applyNumberFormat="1" applyFont="1" applyFill="1" applyBorder="1" applyAlignment="1">
      <alignment horizontal="right"/>
    </xf>
    <xf numFmtId="3" fontId="16" fillId="18" borderId="25" xfId="0" applyNumberFormat="1" applyFont="1" applyFill="1" applyBorder="1" applyAlignment="1">
      <alignment horizontal="right"/>
    </xf>
    <xf numFmtId="3" fontId="17" fillId="4" borderId="38" xfId="0" applyNumberFormat="1" applyFont="1" applyFill="1" applyBorder="1" applyAlignment="1">
      <alignment horizontal="right"/>
    </xf>
    <xf numFmtId="3" fontId="17" fillId="0" borderId="32" xfId="0" applyNumberFormat="1" applyFont="1" applyFill="1" applyBorder="1"/>
    <xf numFmtId="3" fontId="66" fillId="24" borderId="0" xfId="0" applyNumberFormat="1" applyFont="1" applyFill="1" applyAlignment="1">
      <alignment horizontal="right"/>
    </xf>
    <xf numFmtId="3" fontId="17" fillId="28" borderId="38" xfId="0" applyNumberFormat="1" applyFont="1" applyFill="1" applyBorder="1"/>
    <xf numFmtId="3" fontId="17" fillId="0" borderId="31" xfId="0" applyNumberFormat="1" applyFont="1" applyFill="1" applyBorder="1"/>
    <xf numFmtId="3" fontId="16" fillId="0" borderId="108" xfId="0" applyNumberFormat="1" applyFont="1" applyFill="1" applyBorder="1"/>
    <xf numFmtId="3" fontId="16" fillId="24" borderId="109" xfId="0" applyNumberFormat="1" applyFont="1" applyFill="1" applyBorder="1"/>
    <xf numFmtId="3" fontId="3" fillId="24" borderId="0" xfId="0" applyNumberFormat="1" applyFont="1" applyFill="1"/>
    <xf numFmtId="3" fontId="17" fillId="28" borderId="29" xfId="0" applyNumberFormat="1" applyFont="1" applyFill="1" applyBorder="1"/>
    <xf numFmtId="0" fontId="17" fillId="30" borderId="30" xfId="0" applyFont="1" applyFill="1" applyBorder="1"/>
    <xf numFmtId="0" fontId="16" fillId="24" borderId="101" xfId="0" applyFont="1" applyFill="1" applyBorder="1"/>
    <xf numFmtId="0" fontId="17" fillId="30" borderId="104" xfId="0" applyFont="1" applyFill="1" applyBorder="1"/>
    <xf numFmtId="0" fontId="17" fillId="30" borderId="29" xfId="0" applyFont="1" applyFill="1" applyBorder="1"/>
    <xf numFmtId="0" fontId="17" fillId="30" borderId="32" xfId="0" applyFont="1" applyFill="1" applyBorder="1"/>
    <xf numFmtId="0" fontId="16" fillId="30" borderId="24" xfId="0" applyFont="1" applyFill="1" applyBorder="1"/>
    <xf numFmtId="0" fontId="16" fillId="30" borderId="16" xfId="0" applyFont="1" applyFill="1" applyBorder="1"/>
    <xf numFmtId="0" fontId="16" fillId="30" borderId="30" xfId="0" applyFont="1" applyFill="1" applyBorder="1"/>
    <xf numFmtId="3" fontId="17" fillId="31" borderId="29" xfId="0" applyNumberFormat="1" applyFont="1" applyFill="1" applyBorder="1"/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/>
    <xf numFmtId="0" fontId="46" fillId="0" borderId="0" xfId="0" applyFont="1"/>
    <xf numFmtId="0" fontId="10" fillId="24" borderId="110" xfId="0" applyFont="1" applyFill="1" applyBorder="1"/>
    <xf numFmtId="0" fontId="10" fillId="24" borderId="111" xfId="0" applyFont="1" applyFill="1" applyBorder="1"/>
    <xf numFmtId="0" fontId="16" fillId="24" borderId="112" xfId="0" applyFont="1" applyFill="1" applyBorder="1"/>
    <xf numFmtId="0" fontId="17" fillId="24" borderId="112" xfId="0" applyFont="1" applyFill="1" applyBorder="1"/>
    <xf numFmtId="0" fontId="17" fillId="0" borderId="112" xfId="0" applyFont="1" applyFill="1" applyBorder="1"/>
    <xf numFmtId="0" fontId="17" fillId="0" borderId="111" xfId="30" applyFont="1" applyFill="1" applyBorder="1"/>
    <xf numFmtId="0" fontId="16" fillId="0" borderId="61" xfId="0" applyFont="1" applyFill="1" applyBorder="1"/>
    <xf numFmtId="0" fontId="17" fillId="24" borderId="61" xfId="0" applyFont="1" applyFill="1" applyBorder="1"/>
    <xf numFmtId="0" fontId="17" fillId="0" borderId="61" xfId="0" applyFont="1" applyFill="1" applyBorder="1"/>
    <xf numFmtId="0" fontId="17" fillId="24" borderId="113" xfId="0" applyFont="1" applyFill="1" applyBorder="1"/>
    <xf numFmtId="0" fontId="10" fillId="0" borderId="97" xfId="0" applyFont="1" applyFill="1" applyBorder="1"/>
    <xf numFmtId="0" fontId="10" fillId="0" borderId="65" xfId="0" applyFont="1" applyFill="1" applyBorder="1"/>
    <xf numFmtId="0" fontId="14" fillId="0" borderId="98" xfId="0" applyFont="1" applyFill="1" applyBorder="1" applyAlignment="1">
      <alignment horizontal="left"/>
    </xf>
    <xf numFmtId="0" fontId="17" fillId="24" borderId="114" xfId="0" applyFont="1" applyFill="1" applyBorder="1"/>
    <xf numFmtId="0" fontId="17" fillId="0" borderId="65" xfId="30" applyFont="1" applyFill="1" applyBorder="1"/>
    <xf numFmtId="0" fontId="17" fillId="0" borderId="114" xfId="0" applyFont="1" applyFill="1" applyBorder="1"/>
    <xf numFmtId="0" fontId="16" fillId="0" borderId="114" xfId="0" applyFont="1" applyFill="1" applyBorder="1"/>
    <xf numFmtId="0" fontId="16" fillId="24" borderId="114" xfId="0" applyFont="1" applyFill="1" applyBorder="1"/>
    <xf numFmtId="0" fontId="24" fillId="24" borderId="115" xfId="0" applyFont="1" applyFill="1" applyBorder="1"/>
    <xf numFmtId="0" fontId="24" fillId="24" borderId="116" xfId="0" applyFont="1" applyFill="1" applyBorder="1" applyAlignment="1">
      <alignment horizontal="center"/>
    </xf>
    <xf numFmtId="3" fontId="24" fillId="24" borderId="116" xfId="0" applyNumberFormat="1" applyFont="1" applyFill="1" applyBorder="1"/>
    <xf numFmtId="3" fontId="24" fillId="4" borderId="116" xfId="0" applyNumberFormat="1" applyFont="1" applyFill="1" applyBorder="1"/>
    <xf numFmtId="3" fontId="24" fillId="18" borderId="116" xfId="0" applyNumberFormat="1" applyFont="1" applyFill="1" applyBorder="1"/>
    <xf numFmtId="3" fontId="24" fillId="18" borderId="117" xfId="0" applyNumberFormat="1" applyFont="1" applyFill="1" applyBorder="1"/>
    <xf numFmtId="0" fontId="17" fillId="0" borderId="118" xfId="30" applyFont="1" applyFill="1" applyBorder="1"/>
    <xf numFmtId="0" fontId="17" fillId="0" borderId="111" xfId="0" applyFont="1" applyFill="1" applyBorder="1"/>
    <xf numFmtId="3" fontId="17" fillId="18" borderId="112" xfId="0" applyNumberFormat="1" applyFont="1" applyFill="1" applyBorder="1"/>
    <xf numFmtId="3" fontId="17" fillId="32" borderId="37" xfId="0" applyNumberFormat="1" applyFont="1" applyFill="1" applyBorder="1"/>
    <xf numFmtId="3" fontId="67" fillId="4" borderId="30" xfId="0" applyNumberFormat="1" applyFont="1" applyFill="1" applyBorder="1"/>
    <xf numFmtId="0" fontId="16" fillId="0" borderId="100" xfId="0" applyFont="1" applyFill="1" applyBorder="1"/>
    <xf numFmtId="3" fontId="67" fillId="4" borderId="38" xfId="0" applyNumberFormat="1" applyFont="1" applyFill="1" applyBorder="1"/>
    <xf numFmtId="3" fontId="67" fillId="4" borderId="54" xfId="0" applyNumberFormat="1" applyFont="1" applyFill="1" applyBorder="1"/>
    <xf numFmtId="3" fontId="67" fillId="18" borderId="30" xfId="0" applyNumberFormat="1" applyFont="1" applyFill="1" applyBorder="1"/>
    <xf numFmtId="3" fontId="67" fillId="18" borderId="29" xfId="0" applyNumberFormat="1" applyFont="1" applyFill="1" applyBorder="1"/>
    <xf numFmtId="3" fontId="67" fillId="18" borderId="28" xfId="0" applyNumberFormat="1" applyFont="1" applyFill="1" applyBorder="1"/>
    <xf numFmtId="3" fontId="67" fillId="18" borderId="31" xfId="0" applyNumberFormat="1" applyFont="1" applyFill="1" applyBorder="1"/>
    <xf numFmtId="3" fontId="67" fillId="4" borderId="52" xfId="0" applyNumberFormat="1" applyFont="1" applyFill="1" applyBorder="1"/>
    <xf numFmtId="3" fontId="67" fillId="18" borderId="32" xfId="0" applyNumberFormat="1" applyFont="1" applyFill="1" applyBorder="1"/>
    <xf numFmtId="3" fontId="67" fillId="4" borderId="27" xfId="0" applyNumberFormat="1" applyFont="1" applyFill="1" applyBorder="1"/>
    <xf numFmtId="3" fontId="67" fillId="18" borderId="26" xfId="0" applyNumberFormat="1" applyFont="1" applyFill="1" applyBorder="1"/>
    <xf numFmtId="3" fontId="16" fillId="18" borderId="58" xfId="0" applyNumberFormat="1" applyFont="1" applyFill="1" applyBorder="1"/>
    <xf numFmtId="3" fontId="17" fillId="18" borderId="119" xfId="0" applyNumberFormat="1" applyFont="1" applyFill="1" applyBorder="1"/>
    <xf numFmtId="3" fontId="17" fillId="31" borderId="94" xfId="0" applyNumberFormat="1" applyFont="1" applyFill="1" applyBorder="1"/>
    <xf numFmtId="3" fontId="16" fillId="18" borderId="119" xfId="0" applyNumberFormat="1" applyFont="1" applyFill="1" applyBorder="1"/>
    <xf numFmtId="0" fontId="3" fillId="24" borderId="0" xfId="0" applyFont="1" applyFill="1"/>
    <xf numFmtId="3" fontId="67" fillId="4" borderId="29" xfId="0" applyNumberFormat="1" applyFont="1" applyFill="1" applyBorder="1"/>
    <xf numFmtId="3" fontId="67" fillId="4" borderId="31" xfId="0" applyNumberFormat="1" applyFont="1" applyFill="1" applyBorder="1"/>
    <xf numFmtId="165" fontId="67" fillId="4" borderId="35" xfId="40" applyNumberFormat="1" applyFont="1" applyFill="1" applyBorder="1" applyAlignment="1" applyProtection="1"/>
    <xf numFmtId="3" fontId="67" fillId="18" borderId="112" xfId="0" applyNumberFormat="1" applyFont="1" applyFill="1" applyBorder="1"/>
    <xf numFmtId="3" fontId="67" fillId="18" borderId="34" xfId="0" applyNumberFormat="1" applyFont="1" applyFill="1" applyBorder="1"/>
    <xf numFmtId="3" fontId="17" fillId="18" borderId="103" xfId="0" applyNumberFormat="1" applyFont="1" applyFill="1" applyBorder="1"/>
    <xf numFmtId="165" fontId="17" fillId="18" borderId="120" xfId="40" applyNumberFormat="1" applyFont="1" applyFill="1" applyBorder="1" applyAlignment="1" applyProtection="1"/>
    <xf numFmtId="0" fontId="17" fillId="0" borderId="0" xfId="30" applyFont="1" applyFill="1" applyBorder="1"/>
    <xf numFmtId="3" fontId="17" fillId="24" borderId="16" xfId="0" applyNumberFormat="1" applyFont="1" applyFill="1" applyBorder="1" applyAlignment="1">
      <alignment horizontal="right"/>
    </xf>
    <xf numFmtId="3" fontId="17" fillId="33" borderId="32" xfId="0" applyNumberFormat="1" applyFont="1" applyFill="1" applyBorder="1"/>
    <xf numFmtId="3" fontId="67" fillId="34" borderId="29" xfId="0" applyNumberFormat="1" applyFont="1" applyFill="1" applyBorder="1"/>
    <xf numFmtId="3" fontId="67" fillId="33" borderId="29" xfId="0" applyNumberFormat="1" applyFont="1" applyFill="1" applyBorder="1"/>
    <xf numFmtId="3" fontId="67" fillId="33" borderId="28" xfId="0" applyNumberFormat="1" applyFont="1" applyFill="1" applyBorder="1"/>
    <xf numFmtId="3" fontId="67" fillId="34" borderId="31" xfId="0" applyNumberFormat="1" applyFont="1" applyFill="1" applyBorder="1"/>
    <xf numFmtId="3" fontId="67" fillId="33" borderId="32" xfId="0" applyNumberFormat="1" applyFont="1" applyFill="1" applyBorder="1"/>
    <xf numFmtId="3" fontId="67" fillId="33" borderId="31" xfId="0" applyNumberFormat="1" applyFont="1" applyFill="1" applyBorder="1"/>
    <xf numFmtId="3" fontId="17" fillId="34" borderId="29" xfId="0" applyNumberFormat="1" applyFont="1" applyFill="1" applyBorder="1"/>
    <xf numFmtId="3" fontId="17" fillId="33" borderId="29" xfId="0" applyNumberFormat="1" applyFont="1" applyFill="1" applyBorder="1"/>
    <xf numFmtId="3" fontId="67" fillId="34" borderId="54" xfId="0" applyNumberFormat="1" applyFont="1" applyFill="1" applyBorder="1"/>
    <xf numFmtId="3" fontId="67" fillId="33" borderId="30" xfId="0" applyNumberFormat="1" applyFont="1" applyFill="1" applyBorder="1"/>
    <xf numFmtId="3" fontId="17" fillId="34" borderId="27" xfId="0" applyNumberFormat="1" applyFont="1" applyFill="1" applyBorder="1"/>
    <xf numFmtId="3" fontId="17" fillId="33" borderId="28" xfId="0" applyNumberFormat="1" applyFont="1" applyFill="1" applyBorder="1"/>
    <xf numFmtId="3" fontId="67" fillId="34" borderId="37" xfId="0" applyNumberFormat="1" applyFont="1" applyFill="1" applyBorder="1"/>
    <xf numFmtId="3" fontId="17" fillId="34" borderId="54" xfId="0" applyNumberFormat="1" applyFont="1" applyFill="1" applyBorder="1"/>
    <xf numFmtId="3" fontId="67" fillId="34" borderId="52" xfId="0" applyNumberFormat="1" applyFont="1" applyFill="1" applyBorder="1"/>
    <xf numFmtId="3" fontId="17" fillId="34" borderId="52" xfId="0" applyNumberFormat="1" applyFont="1" applyFill="1" applyBorder="1"/>
    <xf numFmtId="0" fontId="17" fillId="35" borderId="32" xfId="0" applyFont="1" applyFill="1" applyBorder="1"/>
    <xf numFmtId="0" fontId="17" fillId="35" borderId="32" xfId="0" applyFont="1" applyFill="1" applyBorder="1" applyAlignment="1">
      <alignment horizontal="center"/>
    </xf>
    <xf numFmtId="3" fontId="67" fillId="18" borderId="59" xfId="0" applyNumberFormat="1" applyFont="1" applyFill="1" applyBorder="1"/>
    <xf numFmtId="3" fontId="67" fillId="18" borderId="94" xfId="0" applyNumberFormat="1" applyFont="1" applyFill="1" applyBorder="1"/>
    <xf numFmtId="3" fontId="17" fillId="34" borderId="38" xfId="0" applyNumberFormat="1" applyFont="1" applyFill="1" applyBorder="1"/>
    <xf numFmtId="3" fontId="17" fillId="33" borderId="30" xfId="0" applyNumberFormat="1" applyFont="1" applyFill="1" applyBorder="1"/>
    <xf numFmtId="3" fontId="17" fillId="33" borderId="94" xfId="0" applyNumberFormat="1" applyFont="1" applyFill="1" applyBorder="1"/>
  </cellXfs>
  <cellStyles count="61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ataveiviser-felt" xfId="20"/>
    <cellStyle name="Dårlig" xfId="21" builtinId="27" customBuiltin="1"/>
    <cellStyle name="Forklarende tekst" xfId="22" builtinId="53" customBuiltin="1"/>
    <cellStyle name="God" xfId="23" builtinId="26" customBuiltin="1"/>
    <cellStyle name="Hjørne i dataveiviseren" xfId="24"/>
    <cellStyle name="Inndata" xfId="25" builtinId="20" customBuiltin="1"/>
    <cellStyle name="Kategori for dataveiviseren" xfId="26"/>
    <cellStyle name="Koblet celle" xfId="27" builtinId="24" customBuiltin="1"/>
    <cellStyle name="Komma" xfId="40" builtinId="3"/>
    <cellStyle name="Komma 2" xfId="51"/>
    <cellStyle name="Kontrollcelle" xfId="28" builtinId="23" customBuiltin="1"/>
    <cellStyle name="Merknad" xfId="29" builtinId="10" customBuiltin="1"/>
    <cellStyle name="Normal" xfId="0" builtinId="0"/>
    <cellStyle name="Normal 2" xfId="50"/>
    <cellStyle name="Normal 2 2" xfId="53"/>
    <cellStyle name="Normal 2_D_H_O" xfId="54"/>
    <cellStyle name="Normal 3" xfId="52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D_Miljø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Resultat for dataveiviseren" xfId="36"/>
    <cellStyle name="Tittel" xfId="37" builtinId="15" customBuiltin="1"/>
    <cellStyle name="Tittel på dataveiviseren" xfId="38"/>
    <cellStyle name="Totalt" xfId="39" builtinId="25" customBuiltin="1"/>
    <cellStyle name="Utdata" xfId="41" builtinId="21" customBuiltin="1"/>
    <cellStyle name="Uthevingsfarge1" xfId="42" builtinId="29" customBuiltin="1"/>
    <cellStyle name="Uthevingsfarge2" xfId="43" builtinId="33" customBuiltin="1"/>
    <cellStyle name="Uthevingsfarge3" xfId="44" builtinId="37" customBuiltin="1"/>
    <cellStyle name="Uthevingsfarge4" xfId="45" builtinId="41" customBuiltin="1"/>
    <cellStyle name="Uthevingsfarge5" xfId="46" builtinId="45" customBuiltin="1"/>
    <cellStyle name="Uthevingsfarge6" xfId="47" builtinId="49" customBuiltin="1"/>
    <cellStyle name="Varseltekst" xfId="48" builtinId="11" customBuiltin="1"/>
    <cellStyle name="Verdi for dataveiviseren" xfId="49"/>
  </cellStyles>
  <dxfs count="0"/>
  <tableStyles count="0" defaultTableStyle="TableStyleMedium9" defaultPivotStyle="PivotStyleLight16"/>
  <colors>
    <mruColors>
      <color rgb="FF00B0F0"/>
      <color rgb="FFFF9999"/>
      <color rgb="FFCCFFCC"/>
      <color rgb="FFFFFFCC"/>
      <color rgb="FF0983E7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/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opLeftCell="A31" workbookViewId="0">
      <selection activeCell="A46" sqref="A46"/>
    </sheetView>
  </sheetViews>
  <sheetFormatPr baseColWidth="10" defaultColWidth="9.85546875" defaultRowHeight="12.75" x14ac:dyDescent="0.2"/>
  <cols>
    <col min="1" max="1" width="33.42578125" style="217" customWidth="1"/>
    <col min="2" max="2" width="16" style="215" customWidth="1"/>
    <col min="3" max="3" width="12.85546875" style="216" customWidth="1"/>
    <col min="4" max="4" width="11.140625" style="216" hidden="1" customWidth="1"/>
    <col min="5" max="7" width="11.7109375" style="216" customWidth="1"/>
    <col min="8" max="8" width="12.42578125" style="216" customWidth="1"/>
    <col min="9" max="16384" width="9.85546875" style="217"/>
  </cols>
  <sheetData>
    <row r="2" spans="1:7" ht="26.25" x14ac:dyDescent="0.4">
      <c r="A2" s="214" t="s">
        <v>115</v>
      </c>
    </row>
    <row r="4" spans="1:7" ht="15" x14ac:dyDescent="0.2">
      <c r="A4" s="218" t="s">
        <v>116</v>
      </c>
      <c r="B4" s="219"/>
      <c r="C4" s="220"/>
    </row>
    <row r="5" spans="1:7" ht="15" x14ac:dyDescent="0.2">
      <c r="A5" s="218"/>
      <c r="B5" s="219"/>
      <c r="C5" s="220"/>
    </row>
    <row r="6" spans="1:7" ht="15" x14ac:dyDescent="0.2">
      <c r="A6" s="219" t="s">
        <v>117</v>
      </c>
      <c r="C6" s="220"/>
    </row>
    <row r="7" spans="1:7" ht="15" x14ac:dyDescent="0.2">
      <c r="A7" s="219" t="s">
        <v>118</v>
      </c>
      <c r="C7" s="220"/>
    </row>
    <row r="8" spans="1:7" ht="15" x14ac:dyDescent="0.2">
      <c r="A8" s="219" t="s">
        <v>119</v>
      </c>
      <c r="C8" s="220"/>
    </row>
    <row r="9" spans="1:7" ht="15" x14ac:dyDescent="0.2">
      <c r="A9" s="219" t="s">
        <v>120</v>
      </c>
      <c r="C9" s="220"/>
    </row>
    <row r="10" spans="1:7" ht="15" x14ac:dyDescent="0.2">
      <c r="A10" s="219" t="s">
        <v>121</v>
      </c>
      <c r="C10" s="220"/>
    </row>
    <row r="11" spans="1:7" ht="15.75" x14ac:dyDescent="0.25">
      <c r="A11" s="221" t="s">
        <v>122</v>
      </c>
      <c r="C11" s="222"/>
      <c r="D11" s="223"/>
      <c r="E11" s="223"/>
      <c r="F11" s="223"/>
      <c r="G11" s="223"/>
    </row>
    <row r="12" spans="1:7" ht="15.75" x14ac:dyDescent="0.25">
      <c r="A12" s="221" t="s">
        <v>123</v>
      </c>
      <c r="C12" s="222"/>
      <c r="D12" s="223"/>
      <c r="E12" s="223"/>
      <c r="F12" s="223"/>
      <c r="G12" s="223"/>
    </row>
    <row r="13" spans="1:7" ht="15.75" x14ac:dyDescent="0.25">
      <c r="A13" s="221" t="s">
        <v>124</v>
      </c>
      <c r="C13" s="222"/>
      <c r="D13" s="223"/>
      <c r="E13" s="223"/>
      <c r="F13" s="223"/>
      <c r="G13" s="223"/>
    </row>
    <row r="14" spans="1:7" ht="15" x14ac:dyDescent="0.2">
      <c r="A14" s="224" t="s">
        <v>231</v>
      </c>
    </row>
    <row r="15" spans="1:7" ht="15" x14ac:dyDescent="0.2">
      <c r="B15" s="224"/>
    </row>
    <row r="16" spans="1:7" ht="15" x14ac:dyDescent="0.2">
      <c r="A16" s="218" t="s">
        <v>125</v>
      </c>
    </row>
    <row r="19" spans="1:8" x14ac:dyDescent="0.2">
      <c r="B19" s="217"/>
      <c r="C19" s="217"/>
      <c r="D19" s="217"/>
      <c r="E19" s="217"/>
      <c r="F19" s="225" t="s">
        <v>126</v>
      </c>
      <c r="G19" s="226"/>
    </row>
    <row r="20" spans="1:8" x14ac:dyDescent="0.2">
      <c r="B20" s="227" t="s">
        <v>127</v>
      </c>
      <c r="C20" s="226"/>
      <c r="D20" s="217"/>
      <c r="E20" s="217"/>
      <c r="F20" s="228" t="s">
        <v>128</v>
      </c>
      <c r="G20" s="229"/>
    </row>
    <row r="21" spans="1:8" x14ac:dyDescent="0.2">
      <c r="B21" s="230" t="s">
        <v>129</v>
      </c>
      <c r="C21" s="229"/>
      <c r="D21" s="217"/>
      <c r="E21" s="217"/>
      <c r="F21" s="228" t="s">
        <v>130</v>
      </c>
      <c r="G21" s="229"/>
    </row>
    <row r="22" spans="1:8" x14ac:dyDescent="0.2">
      <c r="B22" s="231" t="s">
        <v>131</v>
      </c>
      <c r="C22" s="232"/>
      <c r="D22" s="217"/>
      <c r="E22" s="217"/>
      <c r="F22" s="228" t="s">
        <v>132</v>
      </c>
      <c r="G22" s="229"/>
    </row>
    <row r="23" spans="1:8" x14ac:dyDescent="0.2">
      <c r="D23" s="217"/>
      <c r="E23" s="217"/>
      <c r="F23" s="228" t="s">
        <v>133</v>
      </c>
      <c r="G23" s="229"/>
    </row>
    <row r="24" spans="1:8" x14ac:dyDescent="0.2">
      <c r="D24" s="217"/>
      <c r="E24" s="217"/>
      <c r="F24" s="233" t="s">
        <v>134</v>
      </c>
      <c r="G24" s="232"/>
    </row>
    <row r="26" spans="1:8" ht="15" x14ac:dyDescent="0.2">
      <c r="H26" s="234"/>
    </row>
    <row r="27" spans="1:8" ht="26.25" thickBot="1" x14ac:dyDescent="0.4">
      <c r="A27" s="235" t="s">
        <v>135</v>
      </c>
      <c r="B27" s="236"/>
      <c r="C27" s="237"/>
      <c r="D27" s="237"/>
      <c r="E27" s="237"/>
      <c r="F27" s="237"/>
      <c r="G27" s="238"/>
      <c r="H27" s="239" t="s">
        <v>19</v>
      </c>
    </row>
    <row r="28" spans="1:8" ht="18.75" thickTop="1" x14ac:dyDescent="0.25">
      <c r="A28" s="240"/>
      <c r="B28" s="241"/>
      <c r="C28" s="242"/>
      <c r="D28" s="242"/>
      <c r="E28" s="242"/>
      <c r="F28" s="242"/>
      <c r="G28" s="242"/>
      <c r="H28" s="242"/>
    </row>
    <row r="29" spans="1:8" ht="22.5" x14ac:dyDescent="0.3">
      <c r="A29" s="243"/>
      <c r="B29" s="244"/>
      <c r="C29" s="245" t="s">
        <v>54</v>
      </c>
      <c r="D29" s="245" t="s">
        <v>20</v>
      </c>
      <c r="E29" s="246"/>
      <c r="F29" s="247" t="s">
        <v>21</v>
      </c>
      <c r="G29" s="248"/>
      <c r="H29" s="249"/>
    </row>
    <row r="30" spans="1:8" ht="18.75" x14ac:dyDescent="0.3">
      <c r="A30" s="250"/>
      <c r="B30" s="251"/>
      <c r="C30" s="252" t="s">
        <v>55</v>
      </c>
      <c r="D30" s="252" t="s">
        <v>23</v>
      </c>
      <c r="E30" s="253" t="s">
        <v>24</v>
      </c>
      <c r="F30" s="254"/>
      <c r="G30" s="255"/>
      <c r="H30" s="256"/>
    </row>
    <row r="31" spans="1:8" ht="20.25" x14ac:dyDescent="0.3">
      <c r="A31" s="257" t="s">
        <v>25</v>
      </c>
      <c r="B31" s="258" t="s">
        <v>26</v>
      </c>
      <c r="C31" s="259">
        <v>2007</v>
      </c>
      <c r="D31" s="260">
        <v>2004</v>
      </c>
      <c r="E31" s="261">
        <v>2008</v>
      </c>
      <c r="F31" s="262">
        <v>2009</v>
      </c>
      <c r="G31" s="263">
        <v>2010</v>
      </c>
      <c r="H31" s="263">
        <v>2011</v>
      </c>
    </row>
    <row r="32" spans="1:8" ht="15.75" x14ac:dyDescent="0.25">
      <c r="A32" s="264" t="s">
        <v>56</v>
      </c>
      <c r="B32" s="265"/>
      <c r="C32" s="266">
        <v>35621</v>
      </c>
      <c r="D32" s="267"/>
      <c r="E32" s="268">
        <v>38422</v>
      </c>
      <c r="F32" s="269">
        <v>38422</v>
      </c>
      <c r="G32" s="270">
        <v>38422</v>
      </c>
      <c r="H32" s="270">
        <v>38422</v>
      </c>
    </row>
    <row r="33" spans="1:8" ht="15.75" x14ac:dyDescent="0.25">
      <c r="A33" s="264" t="s">
        <v>136</v>
      </c>
      <c r="B33" s="265"/>
      <c r="C33" s="271">
        <v>-1737</v>
      </c>
      <c r="D33" s="272"/>
      <c r="E33" s="273">
        <v>-2145</v>
      </c>
      <c r="F33" s="274">
        <v>-2145</v>
      </c>
      <c r="G33" s="275">
        <v>-2145</v>
      </c>
      <c r="H33" s="275">
        <v>-2145</v>
      </c>
    </row>
    <row r="34" spans="1:8" ht="15.75" x14ac:dyDescent="0.25">
      <c r="A34" s="264"/>
      <c r="B34" s="265"/>
      <c r="C34" s="271"/>
      <c r="D34" s="272"/>
      <c r="E34" s="273"/>
      <c r="F34" s="274"/>
      <c r="G34" s="270"/>
      <c r="H34" s="270"/>
    </row>
    <row r="35" spans="1:8" ht="15.75" x14ac:dyDescent="0.25">
      <c r="A35" s="264" t="s">
        <v>57</v>
      </c>
      <c r="B35" s="265"/>
      <c r="C35" s="271"/>
      <c r="D35" s="272"/>
      <c r="E35" s="273"/>
      <c r="F35" s="274"/>
      <c r="G35" s="270"/>
      <c r="H35" s="270"/>
    </row>
    <row r="36" spans="1:8" ht="15.75" x14ac:dyDescent="0.25">
      <c r="A36" s="276" t="s">
        <v>137</v>
      </c>
      <c r="B36" s="277">
        <v>1110</v>
      </c>
      <c r="C36" s="271">
        <v>400</v>
      </c>
      <c r="D36" s="272"/>
      <c r="E36" s="273">
        <v>250</v>
      </c>
      <c r="F36" s="274">
        <v>250</v>
      </c>
      <c r="G36" s="275">
        <v>250</v>
      </c>
      <c r="H36" s="275">
        <v>250</v>
      </c>
    </row>
    <row r="37" spans="1:8" ht="15.75" x14ac:dyDescent="0.25">
      <c r="A37" s="276" t="s">
        <v>138</v>
      </c>
      <c r="B37" s="277">
        <v>1076</v>
      </c>
      <c r="C37" s="278">
        <v>120</v>
      </c>
      <c r="D37" s="272"/>
      <c r="E37" s="273">
        <v>30</v>
      </c>
      <c r="F37" s="274">
        <v>30</v>
      </c>
      <c r="G37" s="275">
        <v>30</v>
      </c>
      <c r="H37" s="275">
        <v>30</v>
      </c>
    </row>
    <row r="38" spans="1:8" ht="15.75" x14ac:dyDescent="0.25">
      <c r="A38" s="264" t="s">
        <v>65</v>
      </c>
      <c r="B38" s="265"/>
      <c r="C38" s="279">
        <v>2393</v>
      </c>
      <c r="D38" s="272"/>
      <c r="E38" s="273"/>
      <c r="F38" s="274"/>
      <c r="G38" s="270"/>
      <c r="H38" s="270"/>
    </row>
    <row r="39" spans="1:8" ht="15.75" x14ac:dyDescent="0.25">
      <c r="A39" s="264"/>
      <c r="B39" s="265"/>
      <c r="C39" s="280"/>
      <c r="D39" s="272"/>
      <c r="E39" s="273"/>
      <c r="F39" s="274"/>
      <c r="G39" s="270"/>
      <c r="H39" s="270"/>
    </row>
    <row r="40" spans="1:8" ht="15.75" x14ac:dyDescent="0.25">
      <c r="A40" s="264" t="s">
        <v>139</v>
      </c>
      <c r="B40" s="265"/>
      <c r="C40" s="271"/>
      <c r="D40" s="272"/>
      <c r="E40" s="273"/>
      <c r="F40" s="274"/>
      <c r="G40" s="270"/>
      <c r="H40" s="270"/>
    </row>
    <row r="41" spans="1:8" ht="15.75" x14ac:dyDescent="0.25">
      <c r="A41" s="276" t="s">
        <v>140</v>
      </c>
      <c r="B41" s="277">
        <v>1031</v>
      </c>
      <c r="C41" s="271"/>
      <c r="D41" s="272"/>
      <c r="E41" s="273"/>
      <c r="F41" s="274">
        <v>500</v>
      </c>
      <c r="G41" s="275"/>
      <c r="H41" s="275"/>
    </row>
    <row r="42" spans="1:8" ht="15.75" x14ac:dyDescent="0.25">
      <c r="A42" s="276" t="s">
        <v>141</v>
      </c>
      <c r="B42" s="277">
        <v>1031</v>
      </c>
      <c r="C42" s="271"/>
      <c r="D42" s="272"/>
      <c r="E42" s="273"/>
      <c r="F42" s="274"/>
      <c r="G42" s="275"/>
      <c r="H42" s="275">
        <v>800</v>
      </c>
    </row>
    <row r="43" spans="1:8" ht="15.75" x14ac:dyDescent="0.25">
      <c r="A43" s="281"/>
      <c r="B43" s="282"/>
      <c r="C43" s="271"/>
      <c r="D43" s="272"/>
      <c r="E43" s="273"/>
      <c r="F43" s="274"/>
      <c r="G43" s="274"/>
      <c r="H43" s="274"/>
    </row>
    <row r="44" spans="1:8" ht="15.75" x14ac:dyDescent="0.25">
      <c r="A44" s="283"/>
      <c r="B44" s="282"/>
      <c r="C44" s="271"/>
      <c r="D44" s="272"/>
      <c r="E44" s="273"/>
      <c r="F44" s="274"/>
      <c r="G44" s="274"/>
      <c r="H44" s="274"/>
    </row>
    <row r="45" spans="1:8" ht="15.75" x14ac:dyDescent="0.25">
      <c r="A45" s="281"/>
      <c r="B45" s="282"/>
      <c r="C45" s="271"/>
      <c r="D45" s="272"/>
      <c r="E45" s="273"/>
      <c r="F45" s="274"/>
      <c r="G45" s="274"/>
      <c r="H45" s="274"/>
    </row>
    <row r="46" spans="1:8" ht="15.75" x14ac:dyDescent="0.25">
      <c r="A46" s="283"/>
      <c r="B46" s="282"/>
      <c r="C46" s="271"/>
      <c r="D46" s="272"/>
      <c r="E46" s="273"/>
      <c r="F46" s="274"/>
      <c r="G46" s="274"/>
      <c r="H46" s="274"/>
    </row>
    <row r="47" spans="1:8" ht="16.5" thickBot="1" x14ac:dyDescent="0.3">
      <c r="A47" s="283"/>
      <c r="B47" s="282"/>
      <c r="C47" s="271"/>
      <c r="D47" s="272"/>
      <c r="E47" s="273"/>
      <c r="F47" s="274"/>
      <c r="G47" s="274"/>
      <c r="H47" s="274"/>
    </row>
    <row r="48" spans="1:8" ht="16.5" thickBot="1" x14ac:dyDescent="0.3">
      <c r="A48" s="284" t="s">
        <v>62</v>
      </c>
      <c r="B48" s="285"/>
      <c r="C48" s="286">
        <v>38422</v>
      </c>
      <c r="D48" s="287"/>
      <c r="E48" s="288">
        <v>39247</v>
      </c>
      <c r="F48" s="289">
        <v>39337</v>
      </c>
      <c r="G48" s="290">
        <v>38487</v>
      </c>
      <c r="H48" s="290">
        <v>39287</v>
      </c>
    </row>
    <row r="52" spans="3:8" x14ac:dyDescent="0.2">
      <c r="C52" s="225" t="s">
        <v>142</v>
      </c>
      <c r="D52" s="226"/>
      <c r="E52" s="226"/>
      <c r="G52" s="225" t="s">
        <v>143</v>
      </c>
      <c r="H52" s="226"/>
    </row>
    <row r="53" spans="3:8" x14ac:dyDescent="0.2">
      <c r="C53" s="228" t="s">
        <v>144</v>
      </c>
      <c r="D53" s="229"/>
      <c r="E53" s="229"/>
      <c r="G53" s="228" t="s">
        <v>145</v>
      </c>
      <c r="H53" s="229"/>
    </row>
    <row r="54" spans="3:8" x14ac:dyDescent="0.2">
      <c r="C54" s="228" t="s">
        <v>146</v>
      </c>
      <c r="D54" s="229"/>
      <c r="E54" s="229"/>
      <c r="G54" s="228" t="s">
        <v>147</v>
      </c>
      <c r="H54" s="229"/>
    </row>
    <row r="55" spans="3:8" x14ac:dyDescent="0.2">
      <c r="C55" s="228" t="s">
        <v>148</v>
      </c>
      <c r="D55" s="229"/>
      <c r="E55" s="229"/>
      <c r="G55" s="228" t="s">
        <v>149</v>
      </c>
      <c r="H55" s="229"/>
    </row>
    <row r="56" spans="3:8" x14ac:dyDescent="0.2">
      <c r="C56" s="233" t="s">
        <v>150</v>
      </c>
      <c r="D56" s="232"/>
      <c r="E56" s="232"/>
      <c r="G56" s="228" t="s">
        <v>151</v>
      </c>
      <c r="H56" s="229"/>
    </row>
    <row r="57" spans="3:8" x14ac:dyDescent="0.2">
      <c r="G57" s="228" t="s">
        <v>152</v>
      </c>
      <c r="H57" s="229"/>
    </row>
    <row r="58" spans="3:8" x14ac:dyDescent="0.2">
      <c r="G58" s="228" t="s">
        <v>153</v>
      </c>
      <c r="H58" s="229"/>
    </row>
    <row r="59" spans="3:8" x14ac:dyDescent="0.2">
      <c r="G59" s="228" t="s">
        <v>154</v>
      </c>
      <c r="H59" s="229"/>
    </row>
    <row r="60" spans="3:8" x14ac:dyDescent="0.2">
      <c r="G60" s="233" t="s">
        <v>155</v>
      </c>
      <c r="H60" s="23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13" workbookViewId="0">
      <selection activeCell="H44" sqref="H44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85</v>
      </c>
      <c r="B7" s="42">
        <v>111005</v>
      </c>
      <c r="C7" s="113">
        <v>400</v>
      </c>
      <c r="D7" s="70">
        <v>250</v>
      </c>
      <c r="E7" s="71">
        <v>250</v>
      </c>
      <c r="F7" s="71">
        <v>250</v>
      </c>
      <c r="G7" s="71">
        <v>250</v>
      </c>
    </row>
    <row r="8" spans="1:7" ht="15.75" x14ac:dyDescent="0.25">
      <c r="A8" s="69" t="s">
        <v>178</v>
      </c>
      <c r="B8" s="42">
        <v>111020</v>
      </c>
      <c r="C8" s="113">
        <v>200</v>
      </c>
      <c r="D8" s="70">
        <v>200</v>
      </c>
      <c r="E8" s="71">
        <v>200</v>
      </c>
      <c r="F8" s="71">
        <v>200</v>
      </c>
      <c r="G8" s="71">
        <v>200</v>
      </c>
    </row>
    <row r="9" spans="1:7" ht="15.75" x14ac:dyDescent="0.25">
      <c r="A9" s="69" t="s">
        <v>356</v>
      </c>
      <c r="B9" s="42">
        <v>111018</v>
      </c>
      <c r="C9" s="113">
        <v>450</v>
      </c>
      <c r="D9" s="405">
        <f>200+500</f>
        <v>700</v>
      </c>
      <c r="E9" s="71">
        <v>200</v>
      </c>
      <c r="F9" s="71">
        <v>200</v>
      </c>
      <c r="G9" s="71">
        <v>200</v>
      </c>
    </row>
    <row r="10" spans="1:7" ht="15.75" x14ac:dyDescent="0.25">
      <c r="A10" s="69" t="s">
        <v>86</v>
      </c>
      <c r="B10" s="42">
        <v>111009</v>
      </c>
      <c r="C10" s="113">
        <v>250</v>
      </c>
      <c r="D10" s="70">
        <v>250</v>
      </c>
      <c r="E10" s="71">
        <v>250</v>
      </c>
      <c r="F10" s="71">
        <v>250</v>
      </c>
      <c r="G10" s="71">
        <v>250</v>
      </c>
    </row>
    <row r="11" spans="1:7" ht="15.75" x14ac:dyDescent="0.25">
      <c r="A11" s="69" t="s">
        <v>179</v>
      </c>
      <c r="B11" s="42">
        <v>111030</v>
      </c>
      <c r="C11" s="113">
        <v>250</v>
      </c>
      <c r="D11" s="70">
        <v>250</v>
      </c>
      <c r="E11" s="71">
        <v>250</v>
      </c>
      <c r="F11" s="71">
        <v>250</v>
      </c>
      <c r="G11" s="71">
        <v>250</v>
      </c>
    </row>
    <row r="12" spans="1:7" ht="15.75" x14ac:dyDescent="0.25">
      <c r="A12" s="69" t="s">
        <v>104</v>
      </c>
      <c r="B12" s="42">
        <v>111041</v>
      </c>
      <c r="C12" s="113">
        <v>300</v>
      </c>
      <c r="D12" s="405">
        <v>500</v>
      </c>
      <c r="E12" s="71">
        <v>300</v>
      </c>
      <c r="F12" s="71">
        <v>300</v>
      </c>
      <c r="G12" s="71">
        <v>300</v>
      </c>
    </row>
    <row r="13" spans="1:7" ht="15.75" x14ac:dyDescent="0.25">
      <c r="A13" s="69" t="s">
        <v>87</v>
      </c>
      <c r="B13" s="42">
        <v>1117</v>
      </c>
      <c r="C13" s="113">
        <v>150</v>
      </c>
      <c r="D13" s="70">
        <v>150</v>
      </c>
      <c r="E13" s="71">
        <v>150</v>
      </c>
      <c r="F13" s="71">
        <v>150</v>
      </c>
      <c r="G13" s="71">
        <v>150</v>
      </c>
    </row>
    <row r="14" spans="1:7" ht="15.75" x14ac:dyDescent="0.25">
      <c r="A14" s="69" t="s">
        <v>88</v>
      </c>
      <c r="B14" s="42">
        <v>111038</v>
      </c>
      <c r="C14" s="113">
        <v>100</v>
      </c>
      <c r="D14" s="70">
        <v>100</v>
      </c>
      <c r="E14" s="71">
        <v>100</v>
      </c>
      <c r="F14" s="71">
        <v>100</v>
      </c>
      <c r="G14" s="71">
        <v>100</v>
      </c>
    </row>
    <row r="15" spans="1:7" ht="15.75" x14ac:dyDescent="0.25">
      <c r="A15" s="69" t="s">
        <v>360</v>
      </c>
      <c r="B15" s="42">
        <v>111002</v>
      </c>
      <c r="C15" s="113">
        <v>100</v>
      </c>
      <c r="D15" s="70">
        <v>100</v>
      </c>
      <c r="E15" s="71">
        <v>100</v>
      </c>
      <c r="F15" s="71">
        <v>100</v>
      </c>
      <c r="G15" s="71">
        <v>100</v>
      </c>
    </row>
    <row r="16" spans="1:7" ht="15.75" x14ac:dyDescent="0.25">
      <c r="A16" s="69" t="s">
        <v>180</v>
      </c>
      <c r="B16" s="42">
        <v>111020</v>
      </c>
      <c r="C16" s="113">
        <v>750</v>
      </c>
      <c r="D16" s="70">
        <v>750</v>
      </c>
      <c r="E16" s="71">
        <v>750</v>
      </c>
      <c r="F16" s="71">
        <v>750</v>
      </c>
      <c r="G16" s="71">
        <v>750</v>
      </c>
    </row>
    <row r="17" spans="1:7" ht="15.75" x14ac:dyDescent="0.25">
      <c r="A17" s="69" t="s">
        <v>113</v>
      </c>
      <c r="B17" s="42">
        <v>111021</v>
      </c>
      <c r="C17" s="113">
        <v>200</v>
      </c>
      <c r="D17" s="70">
        <v>200</v>
      </c>
      <c r="E17" s="71">
        <v>200</v>
      </c>
      <c r="F17" s="71">
        <v>200</v>
      </c>
      <c r="G17" s="71">
        <v>200</v>
      </c>
    </row>
    <row r="18" spans="1:7" ht="15.75" x14ac:dyDescent="0.25">
      <c r="A18" s="69" t="s">
        <v>112</v>
      </c>
      <c r="B18" s="42">
        <v>111022</v>
      </c>
      <c r="C18" s="113">
        <v>200</v>
      </c>
      <c r="D18" s="70">
        <v>200</v>
      </c>
      <c r="E18" s="71">
        <v>200</v>
      </c>
      <c r="F18" s="71">
        <v>200</v>
      </c>
      <c r="G18" s="71">
        <v>200</v>
      </c>
    </row>
    <row r="19" spans="1:7" ht="15.75" x14ac:dyDescent="0.25">
      <c r="A19" s="69" t="s">
        <v>165</v>
      </c>
      <c r="B19" s="42">
        <v>111045</v>
      </c>
      <c r="C19" s="113">
        <v>400</v>
      </c>
      <c r="D19" s="405">
        <v>200</v>
      </c>
      <c r="E19" s="71"/>
      <c r="F19" s="71"/>
      <c r="G19" s="71"/>
    </row>
    <row r="20" spans="1:7" ht="15.75" x14ac:dyDescent="0.25">
      <c r="A20" s="69" t="s">
        <v>223</v>
      </c>
      <c r="B20" s="42">
        <v>111027</v>
      </c>
      <c r="C20" s="113">
        <v>200</v>
      </c>
      <c r="D20" s="70">
        <v>150</v>
      </c>
      <c r="E20" s="71"/>
      <c r="F20" s="71"/>
      <c r="G20" s="71"/>
    </row>
    <row r="21" spans="1:7" ht="15.75" x14ac:dyDescent="0.25">
      <c r="A21" s="69" t="s">
        <v>166</v>
      </c>
      <c r="B21" s="42">
        <v>111040</v>
      </c>
      <c r="C21" s="113">
        <v>150</v>
      </c>
      <c r="D21" s="70">
        <v>150</v>
      </c>
      <c r="E21" s="71">
        <v>150</v>
      </c>
      <c r="F21" s="71">
        <v>150</v>
      </c>
      <c r="G21" s="71">
        <v>150</v>
      </c>
    </row>
    <row r="22" spans="1:7" ht="15.75" x14ac:dyDescent="0.25">
      <c r="A22" s="69" t="s">
        <v>4</v>
      </c>
      <c r="B22" s="42">
        <v>1122</v>
      </c>
      <c r="C22" s="113">
        <v>5000</v>
      </c>
      <c r="D22" s="406">
        <v>3565</v>
      </c>
      <c r="E22" s="407">
        <v>3565</v>
      </c>
      <c r="F22" s="408">
        <v>3565</v>
      </c>
      <c r="G22" s="71"/>
    </row>
    <row r="23" spans="1:7" ht="15.75" x14ac:dyDescent="0.25">
      <c r="A23" s="69" t="s">
        <v>6</v>
      </c>
      <c r="B23" s="42">
        <v>1120</v>
      </c>
      <c r="C23" s="113">
        <v>2000</v>
      </c>
      <c r="D23" s="406">
        <v>3000</v>
      </c>
      <c r="E23" s="407">
        <v>3000</v>
      </c>
      <c r="F23" s="408">
        <v>3000</v>
      </c>
      <c r="G23" s="408">
        <v>3000</v>
      </c>
    </row>
    <row r="24" spans="1:7" ht="15.75" x14ac:dyDescent="0.25">
      <c r="A24" s="69" t="s">
        <v>234</v>
      </c>
      <c r="B24" s="42">
        <v>111038</v>
      </c>
      <c r="C24" s="113">
        <v>400</v>
      </c>
      <c r="D24" s="165">
        <v>300</v>
      </c>
      <c r="E24" s="79">
        <v>300</v>
      </c>
      <c r="F24" s="71"/>
      <c r="G24" s="71"/>
    </row>
    <row r="25" spans="1:7" ht="15.75" x14ac:dyDescent="0.25">
      <c r="A25" s="69" t="s">
        <v>288</v>
      </c>
      <c r="B25" s="42">
        <v>111006</v>
      </c>
      <c r="C25" s="113"/>
      <c r="D25" s="165">
        <v>100</v>
      </c>
      <c r="E25" s="79"/>
      <c r="F25" s="71"/>
      <c r="G25" s="71"/>
    </row>
    <row r="26" spans="1:7" ht="15.75" x14ac:dyDescent="0.25">
      <c r="A26" s="69" t="s">
        <v>289</v>
      </c>
      <c r="B26" s="42">
        <v>111007</v>
      </c>
      <c r="C26" s="113"/>
      <c r="D26" s="165">
        <v>100</v>
      </c>
      <c r="E26" s="79"/>
      <c r="F26" s="71"/>
      <c r="G26" s="71"/>
    </row>
    <row r="27" spans="1:7" ht="15.75" x14ac:dyDescent="0.25">
      <c r="A27" s="69" t="s">
        <v>290</v>
      </c>
      <c r="B27" s="42">
        <v>111008</v>
      </c>
      <c r="C27" s="113">
        <v>500</v>
      </c>
      <c r="D27" s="165">
        <v>250</v>
      </c>
      <c r="E27" s="79">
        <v>250</v>
      </c>
      <c r="F27" s="71"/>
      <c r="G27" s="71"/>
    </row>
    <row r="28" spans="1:7" ht="15.75" x14ac:dyDescent="0.25">
      <c r="A28" s="69" t="s">
        <v>291</v>
      </c>
      <c r="B28" s="42">
        <v>111011</v>
      </c>
      <c r="C28" s="113">
        <v>250</v>
      </c>
      <c r="D28" s="165"/>
      <c r="E28" s="79"/>
      <c r="F28" s="71"/>
      <c r="G28" s="71"/>
    </row>
    <row r="29" spans="1:7" ht="15.75" x14ac:dyDescent="0.25">
      <c r="A29" s="69" t="s">
        <v>292</v>
      </c>
      <c r="B29" s="42">
        <v>111012</v>
      </c>
      <c r="C29" s="113" t="s">
        <v>162</v>
      </c>
      <c r="D29" s="165"/>
      <c r="E29" s="79">
        <v>350</v>
      </c>
      <c r="F29" s="71">
        <v>250</v>
      </c>
      <c r="G29" s="71"/>
    </row>
    <row r="30" spans="1:7" ht="15.75" x14ac:dyDescent="0.25">
      <c r="A30" s="69" t="s">
        <v>357</v>
      </c>
      <c r="B30" s="42">
        <v>101032</v>
      </c>
      <c r="C30" s="113"/>
      <c r="D30" s="406">
        <v>500</v>
      </c>
      <c r="E30" s="79"/>
      <c r="F30" s="71"/>
      <c r="G30" s="71"/>
    </row>
    <row r="31" spans="1:7" ht="15.75" x14ac:dyDescent="0.25">
      <c r="A31" s="69" t="s">
        <v>358</v>
      </c>
      <c r="B31" s="42">
        <v>101033</v>
      </c>
      <c r="C31" s="113"/>
      <c r="D31" s="406">
        <v>500</v>
      </c>
      <c r="E31" s="79"/>
      <c r="F31" s="71"/>
      <c r="G31" s="71"/>
    </row>
    <row r="32" spans="1:7" ht="15.75" x14ac:dyDescent="0.25">
      <c r="A32" s="69" t="s">
        <v>359</v>
      </c>
      <c r="B32" s="42">
        <v>101034</v>
      </c>
      <c r="C32" s="113"/>
      <c r="D32" s="165"/>
      <c r="E32" s="407">
        <v>150</v>
      </c>
      <c r="F32" s="408"/>
      <c r="G32" s="408">
        <v>150</v>
      </c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+SUM(C7:C57)</f>
        <v>12250</v>
      </c>
      <c r="D58" s="126">
        <f>SUM(D7:D57)</f>
        <v>12465</v>
      </c>
      <c r="E58" s="93">
        <f>SUM(E7:E57)</f>
        <v>10715</v>
      </c>
      <c r="F58" s="93">
        <f>SUM(F7:F57)</f>
        <v>9915</v>
      </c>
      <c r="G58" s="93">
        <f>SUM(G7:G57)</f>
        <v>6250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E12" sqref="E12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52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78" t="s">
        <v>200</v>
      </c>
      <c r="B7" s="55">
        <v>1585</v>
      </c>
      <c r="C7" s="38">
        <v>5000</v>
      </c>
      <c r="D7" s="70">
        <v>11500</v>
      </c>
      <c r="E7" s="409">
        <v>5000</v>
      </c>
      <c r="F7" s="40"/>
      <c r="G7" s="71"/>
    </row>
    <row r="8" spans="1:7" ht="15.75" x14ac:dyDescent="0.25">
      <c r="A8" s="69" t="s">
        <v>284</v>
      </c>
      <c r="B8" s="42">
        <v>1591</v>
      </c>
      <c r="C8" s="113">
        <v>300</v>
      </c>
      <c r="D8" s="165">
        <v>500</v>
      </c>
      <c r="E8" s="79"/>
      <c r="F8" s="71"/>
      <c r="G8" s="71"/>
    </row>
    <row r="9" spans="1:7" ht="15.75" x14ac:dyDescent="0.25">
      <c r="A9" s="69" t="s">
        <v>285</v>
      </c>
      <c r="B9" s="42">
        <v>1591</v>
      </c>
      <c r="C9" s="113">
        <v>300</v>
      </c>
      <c r="D9" s="165">
        <v>500</v>
      </c>
      <c r="E9" s="79"/>
      <c r="F9" s="71"/>
      <c r="G9" s="71"/>
    </row>
    <row r="10" spans="1:7" ht="15.75" x14ac:dyDescent="0.25">
      <c r="A10" s="69" t="s">
        <v>220</v>
      </c>
      <c r="B10" s="42">
        <v>1581</v>
      </c>
      <c r="C10" s="113">
        <v>500</v>
      </c>
      <c r="D10" s="165"/>
      <c r="E10" s="79"/>
      <c r="F10" s="71"/>
      <c r="G10" s="71"/>
    </row>
    <row r="11" spans="1:7" ht="15.75" x14ac:dyDescent="0.25">
      <c r="A11" s="69" t="s">
        <v>282</v>
      </c>
      <c r="B11" s="42">
        <v>1587</v>
      </c>
      <c r="C11" s="113">
        <v>1200</v>
      </c>
      <c r="D11" s="165"/>
      <c r="E11" s="79"/>
      <c r="F11" s="71"/>
      <c r="G11" s="71"/>
    </row>
    <row r="12" spans="1:7" ht="15.75" x14ac:dyDescent="0.25">
      <c r="A12" s="69" t="s">
        <v>283</v>
      </c>
      <c r="B12" s="42">
        <v>1577</v>
      </c>
      <c r="C12" s="113"/>
      <c r="D12" s="443">
        <v>0</v>
      </c>
      <c r="E12" s="451">
        <v>500</v>
      </c>
      <c r="F12" s="437">
        <v>1000</v>
      </c>
      <c r="G12" s="71"/>
    </row>
    <row r="13" spans="1:7" ht="15.75" x14ac:dyDescent="0.25">
      <c r="A13" s="69" t="s">
        <v>428</v>
      </c>
      <c r="B13" s="42">
        <v>1582</v>
      </c>
      <c r="C13" s="113"/>
      <c r="D13" s="406">
        <v>200</v>
      </c>
      <c r="E13" s="79"/>
      <c r="F13" s="71"/>
      <c r="G13" s="71"/>
    </row>
    <row r="14" spans="1:7" ht="15.75" x14ac:dyDescent="0.25">
      <c r="A14" s="69"/>
      <c r="B14" s="42"/>
      <c r="C14" s="113"/>
      <c r="D14" s="165"/>
      <c r="E14" s="79"/>
      <c r="F14" s="71"/>
      <c r="G14" s="71"/>
    </row>
    <row r="15" spans="1:7" ht="15.75" x14ac:dyDescent="0.25">
      <c r="A15" s="69"/>
      <c r="B15" s="42"/>
      <c r="C15" s="113"/>
      <c r="D15" s="165"/>
      <c r="E15" s="79"/>
      <c r="F15" s="71"/>
      <c r="G15" s="71"/>
    </row>
    <row r="16" spans="1:7" ht="15.75" x14ac:dyDescent="0.25">
      <c r="A16" s="69"/>
      <c r="B16" s="42"/>
      <c r="C16" s="113"/>
      <c r="D16" s="165"/>
      <c r="E16" s="79"/>
      <c r="F16" s="71"/>
      <c r="G16" s="71"/>
    </row>
    <row r="17" spans="1:7" ht="15.75" x14ac:dyDescent="0.25">
      <c r="A17" s="69"/>
      <c r="B17" s="42"/>
      <c r="C17" s="113"/>
      <c r="D17" s="165"/>
      <c r="E17" s="79"/>
      <c r="F17" s="71"/>
      <c r="G17" s="71"/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78"/>
      <c r="B19" s="55"/>
      <c r="C19" s="141"/>
      <c r="D19" s="166"/>
      <c r="E19" s="68"/>
      <c r="F19" s="65"/>
      <c r="G19" s="65"/>
    </row>
    <row r="20" spans="1:7" ht="15.75" x14ac:dyDescent="0.25">
      <c r="A20" s="78"/>
      <c r="B20" s="55"/>
      <c r="C20" s="141"/>
      <c r="D20" s="166"/>
      <c r="E20" s="68"/>
      <c r="F20" s="65"/>
      <c r="G20" s="65"/>
    </row>
    <row r="21" spans="1:7" ht="15.75" x14ac:dyDescent="0.25">
      <c r="A21" s="78"/>
      <c r="B21" s="55"/>
      <c r="C21" s="141"/>
      <c r="D21" s="166"/>
      <c r="E21" s="68"/>
      <c r="F21" s="65"/>
      <c r="G21" s="65"/>
    </row>
    <row r="22" spans="1:7" ht="15.75" x14ac:dyDescent="0.25">
      <c r="A22" s="78"/>
      <c r="B22" s="55"/>
      <c r="C22" s="141"/>
      <c r="D22" s="166"/>
      <c r="E22" s="68"/>
      <c r="F22" s="65"/>
      <c r="G22" s="65"/>
    </row>
    <row r="23" spans="1:7" ht="15.75" x14ac:dyDescent="0.25">
      <c r="A23" s="78"/>
      <c r="B23" s="55"/>
      <c r="C23" s="141"/>
      <c r="D23" s="166"/>
      <c r="E23" s="68"/>
      <c r="F23" s="65"/>
      <c r="G23" s="65"/>
    </row>
    <row r="24" spans="1:7" ht="15.75" x14ac:dyDescent="0.25">
      <c r="A24" s="78"/>
      <c r="B24" s="55"/>
      <c r="C24" s="141"/>
      <c r="D24" s="166"/>
      <c r="E24" s="68"/>
      <c r="F24" s="65"/>
      <c r="G24" s="65"/>
    </row>
    <row r="25" spans="1:7" ht="15.75" x14ac:dyDescent="0.25">
      <c r="A25" s="78"/>
      <c r="B25" s="55"/>
      <c r="C25" s="141"/>
      <c r="D25" s="166"/>
      <c r="E25" s="68"/>
      <c r="F25" s="65"/>
      <c r="G25" s="65"/>
    </row>
    <row r="26" spans="1:7" ht="15.75" x14ac:dyDescent="0.25">
      <c r="A26" s="78"/>
      <c r="B26" s="55"/>
      <c r="C26" s="141"/>
      <c r="D26" s="166"/>
      <c r="E26" s="68"/>
      <c r="F26" s="65"/>
      <c r="G26" s="65"/>
    </row>
    <row r="27" spans="1:7" ht="15.75" x14ac:dyDescent="0.25">
      <c r="A27" s="78"/>
      <c r="B27" s="55"/>
      <c r="C27" s="141"/>
      <c r="D27" s="166"/>
      <c r="E27" s="68"/>
      <c r="F27" s="65"/>
      <c r="G27" s="65"/>
    </row>
    <row r="28" spans="1:7" ht="15.75" x14ac:dyDescent="0.25">
      <c r="A28" s="78"/>
      <c r="B28" s="55"/>
      <c r="C28" s="141"/>
      <c r="D28" s="166"/>
      <c r="E28" s="68"/>
      <c r="F28" s="65"/>
      <c r="G28" s="65"/>
    </row>
    <row r="29" spans="1:7" ht="15.75" x14ac:dyDescent="0.25">
      <c r="A29" s="78"/>
      <c r="B29" s="55"/>
      <c r="C29" s="141"/>
      <c r="D29" s="166"/>
      <c r="E29" s="68"/>
      <c r="F29" s="65"/>
      <c r="G29" s="65"/>
    </row>
    <row r="30" spans="1:7" ht="15.75" x14ac:dyDescent="0.25">
      <c r="A30" s="78"/>
      <c r="B30" s="55"/>
      <c r="C30" s="141"/>
      <c r="D30" s="166"/>
      <c r="E30" s="68"/>
      <c r="F30" s="65"/>
      <c r="G30" s="65"/>
    </row>
    <row r="31" spans="1:7" ht="15.75" x14ac:dyDescent="0.25">
      <c r="A31" s="78"/>
      <c r="B31" s="55"/>
      <c r="C31" s="141"/>
      <c r="D31" s="166"/>
      <c r="E31" s="68"/>
      <c r="F31" s="65"/>
      <c r="G31" s="65"/>
    </row>
    <row r="32" spans="1:7" ht="15.75" x14ac:dyDescent="0.25">
      <c r="A32" s="78"/>
      <c r="B32" s="55"/>
      <c r="C32" s="141"/>
      <c r="D32" s="166"/>
      <c r="E32" s="68"/>
      <c r="F32" s="65"/>
      <c r="G32" s="65"/>
    </row>
    <row r="33" spans="1:7" ht="15.75" x14ac:dyDescent="0.25">
      <c r="A33" s="78"/>
      <c r="B33" s="55"/>
      <c r="C33" s="141"/>
      <c r="D33" s="166"/>
      <c r="E33" s="68"/>
      <c r="F33" s="65"/>
      <c r="G33" s="65"/>
    </row>
    <row r="34" spans="1:7" ht="15.75" x14ac:dyDescent="0.25">
      <c r="A34" s="78"/>
      <c r="B34" s="55"/>
      <c r="C34" s="141"/>
      <c r="D34" s="166"/>
      <c r="E34" s="68"/>
      <c r="F34" s="65"/>
      <c r="G34" s="65"/>
    </row>
    <row r="35" spans="1:7" ht="15.75" x14ac:dyDescent="0.25">
      <c r="A35" s="78"/>
      <c r="B35" s="55"/>
      <c r="C35" s="141"/>
      <c r="D35" s="166"/>
      <c r="E35" s="68"/>
      <c r="F35" s="65"/>
      <c r="G35" s="65"/>
    </row>
    <row r="36" spans="1:7" ht="15.75" x14ac:dyDescent="0.25">
      <c r="A36" s="78"/>
      <c r="B36" s="55"/>
      <c r="C36" s="141"/>
      <c r="D36" s="166"/>
      <c r="E36" s="68"/>
      <c r="F36" s="65"/>
      <c r="G36" s="65"/>
    </row>
    <row r="37" spans="1:7" ht="15.75" x14ac:dyDescent="0.25">
      <c r="A37" s="78"/>
      <c r="B37" s="55"/>
      <c r="C37" s="141"/>
      <c r="D37" s="166"/>
      <c r="E37" s="68"/>
      <c r="F37" s="65"/>
      <c r="G37" s="65"/>
    </row>
    <row r="38" spans="1:7" ht="15.75" x14ac:dyDescent="0.25">
      <c r="A38" s="78"/>
      <c r="B38" s="55"/>
      <c r="C38" s="141"/>
      <c r="D38" s="166"/>
      <c r="E38" s="68"/>
      <c r="F38" s="65"/>
      <c r="G38" s="65"/>
    </row>
    <row r="39" spans="1:7" ht="15.75" x14ac:dyDescent="0.25">
      <c r="A39" s="78"/>
      <c r="B39" s="55"/>
      <c r="C39" s="141"/>
      <c r="D39" s="166"/>
      <c r="E39" s="68"/>
      <c r="F39" s="65"/>
      <c r="G39" s="65"/>
    </row>
    <row r="40" spans="1:7" ht="15.75" x14ac:dyDescent="0.25">
      <c r="A40" s="78"/>
      <c r="B40" s="55"/>
      <c r="C40" s="141"/>
      <c r="D40" s="166"/>
      <c r="E40" s="68"/>
      <c r="F40" s="65"/>
      <c r="G40" s="65"/>
    </row>
    <row r="41" spans="1:7" ht="15.75" x14ac:dyDescent="0.25">
      <c r="A41" s="78"/>
      <c r="B41" s="55"/>
      <c r="C41" s="141"/>
      <c r="D41" s="166"/>
      <c r="E41" s="68"/>
      <c r="F41" s="65"/>
      <c r="G41" s="65"/>
    </row>
    <row r="42" spans="1:7" ht="15.75" x14ac:dyDescent="0.25">
      <c r="A42" s="78"/>
      <c r="B42" s="55"/>
      <c r="C42" s="141"/>
      <c r="D42" s="166"/>
      <c r="E42" s="68"/>
      <c r="F42" s="65"/>
      <c r="G42" s="65"/>
    </row>
    <row r="43" spans="1:7" ht="15.75" x14ac:dyDescent="0.25">
      <c r="A43" s="78"/>
      <c r="B43" s="55"/>
      <c r="C43" s="141"/>
      <c r="D43" s="166"/>
      <c r="E43" s="68"/>
      <c r="F43" s="65"/>
      <c r="G43" s="65"/>
    </row>
    <row r="44" spans="1:7" ht="15.75" x14ac:dyDescent="0.25">
      <c r="A44" s="78"/>
      <c r="B44" s="55"/>
      <c r="C44" s="141"/>
      <c r="D44" s="166"/>
      <c r="E44" s="68"/>
      <c r="F44" s="65"/>
      <c r="G44" s="65"/>
    </row>
    <row r="45" spans="1:7" ht="15.75" x14ac:dyDescent="0.25">
      <c r="A45" s="78"/>
      <c r="B45" s="55"/>
      <c r="C45" s="141"/>
      <c r="D45" s="166"/>
      <c r="E45" s="68"/>
      <c r="F45" s="65"/>
      <c r="G45" s="65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SUM(C7:C57)</f>
        <v>7300</v>
      </c>
      <c r="D58" s="126">
        <f>SUM(D7:D57)</f>
        <v>12700</v>
      </c>
      <c r="E58" s="93">
        <f>SUM(E7:E57)</f>
        <v>5500</v>
      </c>
      <c r="F58" s="93">
        <f>SUM(F7:F57)</f>
        <v>1000</v>
      </c>
      <c r="G58" s="93">
        <f>SUM(G7:G57)</f>
        <v>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F18" sqref="F18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215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224</v>
      </c>
      <c r="B7" s="42">
        <v>1221</v>
      </c>
      <c r="C7" s="113">
        <v>1000</v>
      </c>
      <c r="D7" s="165">
        <v>1500</v>
      </c>
      <c r="E7" s="407">
        <v>2700</v>
      </c>
      <c r="F7" s="71">
        <v>5500</v>
      </c>
      <c r="G7" s="71"/>
    </row>
    <row r="8" spans="1:7" ht="15.75" x14ac:dyDescent="0.25">
      <c r="A8" s="69" t="s">
        <v>173</v>
      </c>
      <c r="B8" s="42">
        <v>1502</v>
      </c>
      <c r="C8" s="113">
        <v>800</v>
      </c>
      <c r="D8" s="165">
        <v>400</v>
      </c>
      <c r="E8" s="79"/>
      <c r="F8" s="71"/>
      <c r="G8" s="71"/>
    </row>
    <row r="9" spans="1:7" ht="15.75" x14ac:dyDescent="0.25">
      <c r="A9" s="69" t="s">
        <v>297</v>
      </c>
      <c r="B9" s="42">
        <v>1218</v>
      </c>
      <c r="C9" s="113"/>
      <c r="D9" s="165"/>
      <c r="E9" s="407"/>
      <c r="F9" s="408"/>
      <c r="G9" s="71"/>
    </row>
    <row r="10" spans="1:7" ht="15.75" x14ac:dyDescent="0.25">
      <c r="A10" s="69" t="s">
        <v>298</v>
      </c>
      <c r="B10" s="42">
        <v>1229</v>
      </c>
      <c r="C10" s="113"/>
      <c r="D10" s="443">
        <v>1500</v>
      </c>
      <c r="E10" s="79"/>
      <c r="F10" s="437">
        <v>0</v>
      </c>
      <c r="G10" s="71"/>
    </row>
    <row r="11" spans="1:7" ht="15.75" x14ac:dyDescent="0.25">
      <c r="A11" s="69" t="s">
        <v>300</v>
      </c>
      <c r="B11" s="42">
        <v>1255</v>
      </c>
      <c r="C11" s="113">
        <v>5000</v>
      </c>
      <c r="D11" s="165">
        <v>32000</v>
      </c>
      <c r="E11" s="407">
        <v>4500</v>
      </c>
      <c r="F11" s="71"/>
      <c r="G11" s="71"/>
    </row>
    <row r="12" spans="1:7" ht="15.75" x14ac:dyDescent="0.25">
      <c r="A12" s="69" t="s">
        <v>301</v>
      </c>
      <c r="B12" s="42">
        <v>1203</v>
      </c>
      <c r="C12" s="113"/>
      <c r="D12" s="165">
        <v>5000</v>
      </c>
      <c r="E12" s="79">
        <v>60000</v>
      </c>
      <c r="F12" s="408">
        <f>40000+15000</f>
        <v>55000</v>
      </c>
      <c r="G12" s="71"/>
    </row>
    <row r="13" spans="1:7" ht="15.75" x14ac:dyDescent="0.25">
      <c r="A13" s="69" t="s">
        <v>302</v>
      </c>
      <c r="B13" s="42">
        <v>1212</v>
      </c>
      <c r="C13" s="113"/>
      <c r="D13" s="443">
        <v>1500</v>
      </c>
      <c r="E13" s="79"/>
      <c r="F13" s="437">
        <v>0</v>
      </c>
      <c r="G13" s="71"/>
    </row>
    <row r="14" spans="1:7" ht="15.75" x14ac:dyDescent="0.25">
      <c r="A14" s="72" t="s">
        <v>346</v>
      </c>
      <c r="B14" s="296">
        <v>1219</v>
      </c>
      <c r="C14" s="47">
        <v>2000</v>
      </c>
      <c r="D14" s="411">
        <f>1600+900</f>
        <v>2500</v>
      </c>
      <c r="E14" s="79"/>
      <c r="F14" s="71"/>
      <c r="G14" s="71"/>
    </row>
    <row r="15" spans="1:7" ht="15.75" x14ac:dyDescent="0.25">
      <c r="A15" s="341" t="s">
        <v>226</v>
      </c>
      <c r="B15" s="296">
        <v>1224</v>
      </c>
      <c r="C15" s="47"/>
      <c r="D15" s="411">
        <f>900+350</f>
        <v>1250</v>
      </c>
      <c r="E15" s="79"/>
      <c r="F15" s="71"/>
      <c r="G15" s="71"/>
    </row>
    <row r="16" spans="1:7" ht="15.75" x14ac:dyDescent="0.25">
      <c r="A16" s="341" t="s">
        <v>227</v>
      </c>
      <c r="B16" s="296">
        <v>1225</v>
      </c>
      <c r="C16" s="47"/>
      <c r="D16" s="411">
        <v>1250</v>
      </c>
      <c r="E16" s="79"/>
      <c r="F16" s="71"/>
      <c r="G16" s="71"/>
    </row>
    <row r="17" spans="1:7" ht="15.75" x14ac:dyDescent="0.25">
      <c r="A17" s="341" t="s">
        <v>16</v>
      </c>
      <c r="B17" s="296">
        <v>1226</v>
      </c>
      <c r="C17" s="47"/>
      <c r="D17" s="444">
        <v>0</v>
      </c>
      <c r="E17" s="79"/>
      <c r="F17" s="71"/>
      <c r="G17" s="71"/>
    </row>
    <row r="18" spans="1:7" ht="15.75" x14ac:dyDescent="0.25">
      <c r="A18" s="69" t="s">
        <v>380</v>
      </c>
      <c r="B18" s="42">
        <v>1230</v>
      </c>
      <c r="C18" s="113"/>
      <c r="D18" s="165"/>
      <c r="E18" s="79"/>
      <c r="F18" s="71"/>
      <c r="G18" s="71"/>
    </row>
    <row r="19" spans="1:7" ht="15.75" x14ac:dyDescent="0.25">
      <c r="A19" s="69" t="s">
        <v>381</v>
      </c>
      <c r="B19" s="42">
        <v>1231</v>
      </c>
      <c r="C19" s="113"/>
      <c r="D19" s="165"/>
      <c r="E19" s="79"/>
      <c r="F19" s="71"/>
      <c r="G19" s="71">
        <v>1000</v>
      </c>
    </row>
    <row r="20" spans="1:7" ht="15.75" x14ac:dyDescent="0.25">
      <c r="A20" s="69" t="s">
        <v>382</v>
      </c>
      <c r="B20" s="42">
        <v>1227</v>
      </c>
      <c r="C20" s="113"/>
      <c r="D20" s="165"/>
      <c r="E20" s="79"/>
      <c r="F20" s="71"/>
      <c r="G20" s="71">
        <v>1500</v>
      </c>
    </row>
    <row r="21" spans="1:7" ht="15.75" x14ac:dyDescent="0.25">
      <c r="A21" s="69" t="s">
        <v>423</v>
      </c>
      <c r="B21" s="42">
        <v>1233</v>
      </c>
      <c r="C21" s="113"/>
      <c r="D21" s="165">
        <v>500</v>
      </c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122" t="s">
        <v>62</v>
      </c>
      <c r="B58" s="123"/>
      <c r="C58" s="125">
        <f>SUM(C7:C57)</f>
        <v>8800</v>
      </c>
      <c r="D58" s="138">
        <f>SUM(D7:D57)</f>
        <v>47400</v>
      </c>
      <c r="E58" s="127">
        <f>SUM(E7:E57)</f>
        <v>67200</v>
      </c>
      <c r="F58" s="127">
        <f>SUM(F7:F57)</f>
        <v>60500</v>
      </c>
      <c r="G58" s="127">
        <f>SUM(G7:G57)</f>
        <v>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  <ignoredErrors>
    <ignoredError sqref="C58:G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4" workbookViewId="0">
      <selection activeCell="D21" sqref="D21:E22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213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363</v>
      </c>
      <c r="B7" s="42">
        <v>1333</v>
      </c>
      <c r="C7" s="113">
        <v>350</v>
      </c>
      <c r="D7" s="406">
        <v>500</v>
      </c>
      <c r="E7" s="407">
        <v>500</v>
      </c>
      <c r="F7" s="408">
        <v>500</v>
      </c>
      <c r="G7" s="408">
        <v>500</v>
      </c>
    </row>
    <row r="8" spans="1:7" ht="15.75" x14ac:dyDescent="0.25">
      <c r="A8" s="69" t="s">
        <v>181</v>
      </c>
      <c r="B8" s="42">
        <v>1320</v>
      </c>
      <c r="C8" s="113"/>
      <c r="D8" s="165"/>
      <c r="E8" s="79">
        <v>650</v>
      </c>
      <c r="F8" s="71"/>
      <c r="G8" s="71"/>
    </row>
    <row r="9" spans="1:7" ht="15.75" x14ac:dyDescent="0.25">
      <c r="A9" s="69" t="s">
        <v>294</v>
      </c>
      <c r="B9" s="42">
        <v>1321</v>
      </c>
      <c r="C9" s="113">
        <v>200</v>
      </c>
      <c r="D9" s="165"/>
      <c r="E9" s="79"/>
      <c r="F9" s="71"/>
      <c r="G9" s="71"/>
    </row>
    <row r="10" spans="1:7" ht="15.75" x14ac:dyDescent="0.25">
      <c r="A10" s="69" t="s">
        <v>299</v>
      </c>
      <c r="B10" s="42">
        <v>1315</v>
      </c>
      <c r="C10" s="113"/>
      <c r="D10" s="443">
        <v>1500</v>
      </c>
      <c r="E10" s="79"/>
      <c r="F10" s="71">
        <v>10000</v>
      </c>
      <c r="G10" s="71">
        <v>40000</v>
      </c>
    </row>
    <row r="11" spans="1:7" ht="15.75" x14ac:dyDescent="0.25">
      <c r="A11" s="69" t="s">
        <v>361</v>
      </c>
      <c r="B11" s="42">
        <v>1334</v>
      </c>
      <c r="C11" s="113"/>
      <c r="D11" s="406">
        <v>600</v>
      </c>
      <c r="E11" s="79"/>
      <c r="F11" s="71"/>
      <c r="G11" s="71"/>
    </row>
    <row r="12" spans="1:7" ht="15.75" x14ac:dyDescent="0.25">
      <c r="A12" s="69" t="s">
        <v>362</v>
      </c>
      <c r="B12" s="42">
        <v>1335</v>
      </c>
      <c r="C12" s="113"/>
      <c r="D12" s="165"/>
      <c r="E12" s="79"/>
      <c r="F12" s="408">
        <v>500</v>
      </c>
      <c r="G12" s="71"/>
    </row>
    <row r="13" spans="1:7" ht="15.75" x14ac:dyDescent="0.25">
      <c r="A13" s="69" t="s">
        <v>364</v>
      </c>
      <c r="B13" s="42">
        <v>1336</v>
      </c>
      <c r="C13" s="113"/>
      <c r="D13" s="406">
        <v>300</v>
      </c>
      <c r="E13" s="407"/>
      <c r="F13" s="408"/>
      <c r="G13" s="408"/>
    </row>
    <row r="14" spans="1:7" ht="15.75" x14ac:dyDescent="0.25">
      <c r="A14" s="69" t="s">
        <v>365</v>
      </c>
      <c r="B14" s="42">
        <v>1337</v>
      </c>
      <c r="C14" s="113"/>
      <c r="D14" s="406">
        <v>800</v>
      </c>
      <c r="E14" s="407"/>
      <c r="F14" s="408"/>
      <c r="G14" s="408"/>
    </row>
    <row r="15" spans="1:7" ht="15.75" x14ac:dyDescent="0.25">
      <c r="A15" s="69" t="s">
        <v>366</v>
      </c>
      <c r="B15" s="42">
        <v>1338</v>
      </c>
      <c r="C15" s="113"/>
      <c r="D15" s="406"/>
      <c r="E15" s="407"/>
      <c r="F15" s="408"/>
      <c r="G15" s="408">
        <v>500</v>
      </c>
    </row>
    <row r="16" spans="1:7" ht="15.75" x14ac:dyDescent="0.25">
      <c r="A16" s="69" t="s">
        <v>424</v>
      </c>
      <c r="B16" s="42">
        <v>1339</v>
      </c>
      <c r="C16" s="113"/>
      <c r="D16" s="406">
        <v>1000</v>
      </c>
      <c r="E16" s="79"/>
      <c r="F16" s="71"/>
      <c r="G16" s="71"/>
    </row>
    <row r="17" spans="1:7" ht="15.75" x14ac:dyDescent="0.25">
      <c r="A17" s="69" t="s">
        <v>383</v>
      </c>
      <c r="B17" s="42">
        <v>1340</v>
      </c>
      <c r="C17" s="113"/>
      <c r="D17" s="406">
        <v>700</v>
      </c>
      <c r="E17" s="79"/>
      <c r="F17" s="71"/>
      <c r="G17" s="71"/>
    </row>
    <row r="18" spans="1:7" ht="15.75" x14ac:dyDescent="0.25">
      <c r="A18" s="69" t="s">
        <v>385</v>
      </c>
      <c r="B18" s="42">
        <v>1341</v>
      </c>
      <c r="C18" s="113"/>
      <c r="D18" s="438">
        <v>1400</v>
      </c>
      <c r="E18" s="439">
        <v>0</v>
      </c>
      <c r="F18" s="408"/>
      <c r="G18" s="408"/>
    </row>
    <row r="19" spans="1:7" ht="15.75" x14ac:dyDescent="0.25">
      <c r="A19" s="69" t="s">
        <v>386</v>
      </c>
      <c r="B19" s="42">
        <v>1342</v>
      </c>
      <c r="C19" s="113"/>
      <c r="D19" s="406"/>
      <c r="E19" s="407"/>
      <c r="F19" s="408"/>
      <c r="G19" s="408">
        <v>1500</v>
      </c>
    </row>
    <row r="20" spans="1:7" ht="15.75" x14ac:dyDescent="0.25">
      <c r="A20" s="69" t="s">
        <v>425</v>
      </c>
      <c r="B20" s="42">
        <v>1343</v>
      </c>
      <c r="C20" s="113"/>
      <c r="D20" s="406">
        <v>500</v>
      </c>
      <c r="E20" s="407"/>
      <c r="F20" s="408"/>
      <c r="G20" s="408"/>
    </row>
    <row r="21" spans="1:7" ht="15.75" x14ac:dyDescent="0.25">
      <c r="A21" s="69" t="s">
        <v>426</v>
      </c>
      <c r="B21" s="42">
        <v>1344</v>
      </c>
      <c r="C21" s="113"/>
      <c r="D21" s="438">
        <v>6500</v>
      </c>
      <c r="E21" s="439">
        <v>0</v>
      </c>
      <c r="F21" s="71"/>
      <c r="G21" s="71"/>
    </row>
    <row r="22" spans="1:7" ht="15.75" x14ac:dyDescent="0.25">
      <c r="A22" s="69" t="s">
        <v>427</v>
      </c>
      <c r="B22" s="42">
        <v>1344</v>
      </c>
      <c r="C22" s="113"/>
      <c r="D22" s="438">
        <v>-6500</v>
      </c>
      <c r="E22" s="439">
        <v>0</v>
      </c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297" t="s">
        <v>62</v>
      </c>
      <c r="B58" s="298"/>
      <c r="C58" s="125">
        <f>SUM(C7:C57)</f>
        <v>550</v>
      </c>
      <c r="D58" s="138">
        <f>SUM(D7:D57)</f>
        <v>7300</v>
      </c>
      <c r="E58" s="127">
        <f>SUM(E7:E57)</f>
        <v>1150</v>
      </c>
      <c r="F58" s="127">
        <f>SUM(F7:F57)</f>
        <v>11000</v>
      </c>
      <c r="G58" s="127">
        <f>SUM(G7:G57)</f>
        <v>42500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  <ignoredErrors>
    <ignoredError sqref="C58:G58" formulaRange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8"/>
  <sheetViews>
    <sheetView workbookViewId="0">
      <pane ySplit="6" topLeftCell="A10" activePane="bottomLeft" state="frozen"/>
      <selection pane="bottomLeft" activeCell="B57" sqref="B57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89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s="136" customFormat="1" ht="15.75" x14ac:dyDescent="0.25">
      <c r="A7" s="36" t="s">
        <v>67</v>
      </c>
      <c r="B7" s="105"/>
      <c r="C7" s="130"/>
      <c r="D7" s="167"/>
      <c r="E7" s="109"/>
      <c r="F7" s="109"/>
      <c r="G7" s="109"/>
    </row>
    <row r="8" spans="1:7" s="136" customFormat="1" ht="15.75" x14ac:dyDescent="0.25">
      <c r="A8" s="69" t="s">
        <v>90</v>
      </c>
      <c r="B8" s="42">
        <v>1647</v>
      </c>
      <c r="C8" s="43">
        <v>500</v>
      </c>
      <c r="D8" s="70">
        <v>500</v>
      </c>
      <c r="E8" s="71">
        <v>500</v>
      </c>
      <c r="F8" s="71">
        <v>500</v>
      </c>
      <c r="G8" s="71">
        <v>1000</v>
      </c>
    </row>
    <row r="9" spans="1:7" s="136" customFormat="1" ht="15.75" x14ac:dyDescent="0.25">
      <c r="A9" s="69" t="s">
        <v>303</v>
      </c>
      <c r="B9" s="42">
        <v>1606</v>
      </c>
      <c r="C9" s="43"/>
      <c r="D9" s="70">
        <v>750</v>
      </c>
      <c r="E9" s="71"/>
      <c r="F9" s="71"/>
      <c r="G9" s="71"/>
    </row>
    <row r="10" spans="1:7" s="136" customFormat="1" ht="15.75" x14ac:dyDescent="0.25">
      <c r="A10" s="69" t="s">
        <v>304</v>
      </c>
      <c r="B10" s="42">
        <v>1604</v>
      </c>
      <c r="C10" s="43">
        <v>7100</v>
      </c>
      <c r="D10" s="70">
        <f>8000+2600</f>
        <v>10600</v>
      </c>
      <c r="E10" s="71"/>
      <c r="F10" s="71">
        <v>20000</v>
      </c>
      <c r="G10" s="71">
        <v>20000</v>
      </c>
    </row>
    <row r="11" spans="1:7" s="136" customFormat="1" ht="15.75" x14ac:dyDescent="0.25">
      <c r="A11" s="69" t="s">
        <v>305</v>
      </c>
      <c r="B11" s="42">
        <v>1605</v>
      </c>
      <c r="C11" s="43">
        <v>4000</v>
      </c>
      <c r="D11" s="70">
        <v>2000</v>
      </c>
      <c r="E11" s="71">
        <v>2000</v>
      </c>
      <c r="F11" s="71">
        <v>2000</v>
      </c>
      <c r="G11" s="71">
        <v>2000</v>
      </c>
    </row>
    <row r="12" spans="1:7" s="136" customFormat="1" ht="15.75" x14ac:dyDescent="0.25">
      <c r="A12" s="69" t="s">
        <v>371</v>
      </c>
      <c r="B12" s="46">
        <v>1905</v>
      </c>
      <c r="C12" s="47"/>
      <c r="D12" s="157"/>
      <c r="E12" s="121"/>
      <c r="F12" s="121">
        <v>1000</v>
      </c>
      <c r="G12" s="121"/>
    </row>
    <row r="13" spans="1:7" s="136" customFormat="1" ht="15.75" x14ac:dyDescent="0.25">
      <c r="A13" s="69" t="s">
        <v>372</v>
      </c>
      <c r="B13" s="46">
        <v>1906</v>
      </c>
      <c r="C13" s="47"/>
      <c r="D13" s="157"/>
      <c r="E13" s="121"/>
      <c r="F13" s="121">
        <v>400</v>
      </c>
      <c r="G13" s="121"/>
    </row>
    <row r="14" spans="1:7" s="136" customFormat="1" ht="15.75" x14ac:dyDescent="0.25">
      <c r="A14" s="69" t="s">
        <v>373</v>
      </c>
      <c r="B14" s="46">
        <v>1907</v>
      </c>
      <c r="C14" s="47"/>
      <c r="D14" s="157"/>
      <c r="E14" s="121"/>
      <c r="F14" s="121"/>
      <c r="G14" s="121">
        <v>700</v>
      </c>
    </row>
    <row r="15" spans="1:7" s="136" customFormat="1" ht="15.75" x14ac:dyDescent="0.25">
      <c r="A15" s="69" t="s">
        <v>374</v>
      </c>
      <c r="B15" s="46">
        <v>1908</v>
      </c>
      <c r="C15" s="47"/>
      <c r="D15" s="157"/>
      <c r="E15" s="121"/>
      <c r="F15" s="121"/>
      <c r="G15" s="121"/>
    </row>
    <row r="16" spans="1:7" s="136" customFormat="1" ht="15.75" x14ac:dyDescent="0.25">
      <c r="A16" s="69" t="s">
        <v>375</v>
      </c>
      <c r="B16" s="46">
        <v>1909</v>
      </c>
      <c r="C16" s="47"/>
      <c r="D16" s="157"/>
      <c r="E16" s="121"/>
      <c r="F16" s="121"/>
      <c r="G16" s="121"/>
    </row>
    <row r="17" spans="1:7" s="136" customFormat="1" ht="15.75" x14ac:dyDescent="0.25">
      <c r="A17" s="69" t="s">
        <v>376</v>
      </c>
      <c r="B17" s="46">
        <v>1910</v>
      </c>
      <c r="C17" s="47"/>
      <c r="D17" s="157">
        <v>200</v>
      </c>
      <c r="E17" s="121">
        <v>200</v>
      </c>
      <c r="F17" s="121"/>
      <c r="G17" s="121"/>
    </row>
    <row r="18" spans="1:7" s="136" customFormat="1" ht="15.75" x14ac:dyDescent="0.25">
      <c r="A18" s="69" t="s">
        <v>377</v>
      </c>
      <c r="B18" s="46">
        <v>1911</v>
      </c>
      <c r="C18" s="47"/>
      <c r="D18" s="157"/>
      <c r="E18" s="121"/>
      <c r="F18" s="121">
        <v>900</v>
      </c>
      <c r="G18" s="121"/>
    </row>
    <row r="19" spans="1:7" s="136" customFormat="1" ht="15.75" x14ac:dyDescent="0.25">
      <c r="A19" s="69" t="s">
        <v>5</v>
      </c>
      <c r="B19" s="46">
        <v>1903</v>
      </c>
      <c r="C19" s="47"/>
      <c r="D19" s="157"/>
      <c r="E19" s="121"/>
      <c r="F19" s="121"/>
      <c r="G19" s="121"/>
    </row>
    <row r="20" spans="1:7" s="136" customFormat="1" ht="15.75" x14ac:dyDescent="0.25">
      <c r="A20" s="69" t="s">
        <v>369</v>
      </c>
      <c r="B20" s="42">
        <v>1659</v>
      </c>
      <c r="C20" s="47"/>
      <c r="D20" s="411">
        <v>1600</v>
      </c>
      <c r="E20" s="121"/>
      <c r="F20" s="121"/>
      <c r="G20" s="121"/>
    </row>
    <row r="21" spans="1:7" s="136" customFormat="1" ht="15.75" x14ac:dyDescent="0.25">
      <c r="A21" s="69" t="s">
        <v>370</v>
      </c>
      <c r="B21" s="42">
        <v>1912</v>
      </c>
      <c r="C21" s="47"/>
      <c r="D21" s="411"/>
      <c r="E21" s="121"/>
      <c r="F21" s="121"/>
      <c r="G21" s="121">
        <v>800</v>
      </c>
    </row>
    <row r="22" spans="1:7" s="136" customFormat="1" ht="15.75" x14ac:dyDescent="0.25">
      <c r="A22" s="69" t="s">
        <v>368</v>
      </c>
      <c r="B22" s="46">
        <v>1610</v>
      </c>
      <c r="C22" s="47"/>
      <c r="D22" s="411">
        <v>3000</v>
      </c>
      <c r="E22" s="121"/>
      <c r="F22" s="121"/>
      <c r="G22" s="121"/>
    </row>
    <row r="23" spans="1:7" s="136" customFormat="1" ht="15.75" x14ac:dyDescent="0.25">
      <c r="A23" s="69" t="s">
        <v>0</v>
      </c>
      <c r="B23" s="46">
        <v>1901</v>
      </c>
      <c r="C23" s="47">
        <v>2300</v>
      </c>
      <c r="D23" s="157"/>
      <c r="E23" s="121"/>
      <c r="F23" s="121"/>
      <c r="G23" s="121"/>
    </row>
    <row r="24" spans="1:7" ht="15.75" x14ac:dyDescent="0.25">
      <c r="A24" s="74" t="s">
        <v>91</v>
      </c>
      <c r="B24" s="50"/>
      <c r="C24" s="51">
        <f>SUM(C7:C23)</f>
        <v>13900</v>
      </c>
      <c r="D24" s="158">
        <f>SUM(D7:D23)</f>
        <v>18650</v>
      </c>
      <c r="E24" s="76">
        <f>SUM(E7:E23)</f>
        <v>2700</v>
      </c>
      <c r="F24" s="77">
        <f>SUM(F7:F23)</f>
        <v>24800</v>
      </c>
      <c r="G24" s="77">
        <f>SUM(G7:G23)</f>
        <v>24500</v>
      </c>
    </row>
    <row r="25" spans="1:7" ht="15.75" x14ac:dyDescent="0.25">
      <c r="A25" s="78"/>
      <c r="B25" s="55"/>
      <c r="C25" s="38"/>
      <c r="D25" s="39"/>
      <c r="E25" s="65"/>
      <c r="F25" s="65"/>
      <c r="G25" s="65"/>
    </row>
    <row r="26" spans="1:7" ht="15.75" x14ac:dyDescent="0.25">
      <c r="A26" s="150" t="s">
        <v>68</v>
      </c>
      <c r="B26" s="210"/>
      <c r="C26" s="133"/>
      <c r="D26" s="168"/>
      <c r="E26" s="135"/>
      <c r="F26" s="135"/>
      <c r="G26" s="135"/>
    </row>
    <row r="27" spans="1:7" ht="15.75" x14ac:dyDescent="0.25">
      <c r="A27" s="69" t="s">
        <v>92</v>
      </c>
      <c r="B27" s="42">
        <v>1697</v>
      </c>
      <c r="C27" s="43">
        <v>500</v>
      </c>
      <c r="D27" s="70">
        <v>1000</v>
      </c>
      <c r="E27" s="71">
        <v>1000</v>
      </c>
      <c r="F27" s="71">
        <v>1000</v>
      </c>
      <c r="G27" s="71">
        <v>1000</v>
      </c>
    </row>
    <row r="28" spans="1:7" ht="15.75" x14ac:dyDescent="0.25">
      <c r="A28" s="69" t="s">
        <v>303</v>
      </c>
      <c r="B28" s="42">
        <v>1652</v>
      </c>
      <c r="C28" s="43"/>
      <c r="D28" s="70">
        <v>750</v>
      </c>
      <c r="E28" s="71"/>
      <c r="F28" s="71"/>
      <c r="G28" s="71"/>
    </row>
    <row r="29" spans="1:7" ht="15.75" x14ac:dyDescent="0.25">
      <c r="A29" s="69" t="s">
        <v>369</v>
      </c>
      <c r="B29" s="42">
        <v>1659</v>
      </c>
      <c r="C29" s="43"/>
      <c r="D29" s="405">
        <v>1600</v>
      </c>
      <c r="E29" s="71"/>
      <c r="F29" s="71"/>
      <c r="G29" s="71"/>
    </row>
    <row r="30" spans="1:7" ht="15.75" x14ac:dyDescent="0.25">
      <c r="A30" s="69" t="s">
        <v>371</v>
      </c>
      <c r="B30" s="46">
        <v>1905</v>
      </c>
      <c r="C30" s="47"/>
      <c r="D30" s="157"/>
      <c r="E30" s="121"/>
      <c r="F30" s="121">
        <v>1500</v>
      </c>
      <c r="G30" s="121"/>
    </row>
    <row r="31" spans="1:7" ht="15.75" x14ac:dyDescent="0.25">
      <c r="A31" s="69" t="s">
        <v>372</v>
      </c>
      <c r="B31" s="46">
        <v>1906</v>
      </c>
      <c r="C31" s="47"/>
      <c r="D31" s="157"/>
      <c r="E31" s="121"/>
      <c r="F31" s="121">
        <v>500</v>
      </c>
      <c r="G31" s="121"/>
    </row>
    <row r="32" spans="1:7" ht="15.75" x14ac:dyDescent="0.25">
      <c r="A32" s="69" t="s">
        <v>373</v>
      </c>
      <c r="B32" s="46">
        <v>1907</v>
      </c>
      <c r="C32" s="47"/>
      <c r="D32" s="157"/>
      <c r="E32" s="121"/>
      <c r="F32" s="121"/>
      <c r="G32" s="121">
        <v>800</v>
      </c>
    </row>
    <row r="33" spans="1:11" ht="15.75" x14ac:dyDescent="0.25">
      <c r="A33" s="69" t="s">
        <v>374</v>
      </c>
      <c r="B33" s="46">
        <v>1908</v>
      </c>
      <c r="C33" s="47"/>
      <c r="D33" s="157"/>
      <c r="E33" s="121"/>
      <c r="F33" s="121"/>
      <c r="G33" s="121"/>
    </row>
    <row r="34" spans="1:11" ht="15.75" x14ac:dyDescent="0.25">
      <c r="A34" s="69" t="s">
        <v>375</v>
      </c>
      <c r="B34" s="46">
        <v>1909</v>
      </c>
      <c r="C34" s="47"/>
      <c r="D34" s="157"/>
      <c r="E34" s="121"/>
      <c r="F34" s="121"/>
      <c r="G34" s="121"/>
    </row>
    <row r="35" spans="1:11" ht="15.75" x14ac:dyDescent="0.25">
      <c r="A35" s="69" t="s">
        <v>376</v>
      </c>
      <c r="B35" s="46">
        <v>1910</v>
      </c>
      <c r="C35" s="47"/>
      <c r="D35" s="157">
        <v>300</v>
      </c>
      <c r="E35" s="121">
        <v>300</v>
      </c>
      <c r="F35" s="121"/>
      <c r="G35" s="121"/>
    </row>
    <row r="36" spans="1:11" ht="15.75" x14ac:dyDescent="0.25">
      <c r="A36" s="69" t="s">
        <v>377</v>
      </c>
      <c r="B36" s="46">
        <v>1911</v>
      </c>
      <c r="C36" s="47"/>
      <c r="D36" s="157"/>
      <c r="E36" s="121"/>
      <c r="F36" s="121">
        <v>1000</v>
      </c>
      <c r="G36" s="71"/>
    </row>
    <row r="37" spans="1:11" ht="15.75" x14ac:dyDescent="0.25">
      <c r="A37" s="69" t="s">
        <v>105</v>
      </c>
      <c r="B37" s="42">
        <v>1651</v>
      </c>
      <c r="C37" s="43">
        <v>2000</v>
      </c>
      <c r="D37" s="405">
        <f>1000+5000</f>
        <v>6000</v>
      </c>
      <c r="E37" s="71"/>
      <c r="F37" s="71"/>
      <c r="G37" s="71"/>
    </row>
    <row r="38" spans="1:11" ht="15.75" x14ac:dyDescent="0.25">
      <c r="A38" s="69" t="s">
        <v>93</v>
      </c>
      <c r="B38" s="42">
        <v>1650</v>
      </c>
      <c r="C38" s="43">
        <v>1000</v>
      </c>
      <c r="D38" s="70">
        <v>1000</v>
      </c>
      <c r="E38" s="71">
        <v>1000</v>
      </c>
      <c r="F38" s="71">
        <v>1000</v>
      </c>
      <c r="G38" s="71">
        <v>1000</v>
      </c>
    </row>
    <row r="39" spans="1:11" ht="15.75" x14ac:dyDescent="0.25">
      <c r="A39" s="69" t="s">
        <v>5</v>
      </c>
      <c r="B39" s="46">
        <v>1903</v>
      </c>
      <c r="C39" s="47"/>
      <c r="D39" s="157"/>
      <c r="E39" s="71"/>
      <c r="F39" s="71"/>
      <c r="G39" s="71"/>
    </row>
    <row r="40" spans="1:11" ht="15.75" x14ac:dyDescent="0.25">
      <c r="A40" s="69" t="s">
        <v>306</v>
      </c>
      <c r="B40" s="42">
        <v>1962</v>
      </c>
      <c r="C40" s="43">
        <v>1600</v>
      </c>
      <c r="D40" s="70"/>
      <c r="E40" s="71"/>
      <c r="F40" s="71"/>
      <c r="G40" s="71"/>
    </row>
    <row r="41" spans="1:11" ht="15.75" x14ac:dyDescent="0.25">
      <c r="A41" s="69" t="s">
        <v>170</v>
      </c>
      <c r="B41" s="42">
        <v>1654</v>
      </c>
      <c r="C41" s="43"/>
      <c r="D41" s="70"/>
      <c r="E41" s="71"/>
      <c r="F41" s="71"/>
      <c r="G41" s="71"/>
    </row>
    <row r="42" spans="1:11" ht="15.75" x14ac:dyDescent="0.25">
      <c r="A42" s="69" t="s">
        <v>0</v>
      </c>
      <c r="B42" s="42">
        <v>1901</v>
      </c>
      <c r="C42" s="43"/>
      <c r="D42" s="70"/>
      <c r="E42" s="71"/>
      <c r="F42" s="71"/>
      <c r="G42" s="71"/>
    </row>
    <row r="43" spans="1:11" ht="15.75" x14ac:dyDescent="0.25">
      <c r="A43" s="69" t="s">
        <v>307</v>
      </c>
      <c r="B43" s="42">
        <v>1653</v>
      </c>
      <c r="C43" s="43"/>
      <c r="D43" s="70"/>
      <c r="E43" s="71"/>
      <c r="F43" s="71">
        <v>1000</v>
      </c>
      <c r="G43" s="71"/>
    </row>
    <row r="44" spans="1:11" ht="15.75" x14ac:dyDescent="0.25">
      <c r="A44" s="69" t="s">
        <v>370</v>
      </c>
      <c r="B44" s="42">
        <v>1912</v>
      </c>
      <c r="C44" s="43"/>
      <c r="D44" s="70"/>
      <c r="E44" s="71"/>
      <c r="F44" s="71"/>
      <c r="G44" s="71">
        <v>1000</v>
      </c>
    </row>
    <row r="45" spans="1:11" s="136" customFormat="1" ht="15.75" x14ac:dyDescent="0.25">
      <c r="A45" s="69" t="s">
        <v>102</v>
      </c>
      <c r="B45" s="42">
        <v>1657</v>
      </c>
      <c r="C45" s="43">
        <v>5000</v>
      </c>
      <c r="D45" s="70"/>
      <c r="E45" s="71">
        <v>3000</v>
      </c>
      <c r="F45" s="71">
        <v>2000</v>
      </c>
      <c r="G45" s="71">
        <v>2000</v>
      </c>
    </row>
    <row r="46" spans="1:11" ht="15.75" x14ac:dyDescent="0.25">
      <c r="A46" s="74" t="s">
        <v>94</v>
      </c>
      <c r="B46" s="50"/>
      <c r="C46" s="51">
        <f>SUM(C26:C45)</f>
        <v>10100</v>
      </c>
      <c r="D46" s="158">
        <f>SUM(D26:D45)</f>
        <v>10650</v>
      </c>
      <c r="E46" s="76">
        <f>SUM(E26:E45)</f>
        <v>5300</v>
      </c>
      <c r="F46" s="76">
        <f>SUM(F26:F45)</f>
        <v>8000</v>
      </c>
      <c r="G46" s="77">
        <f>SUM(G26:G45)</f>
        <v>5800</v>
      </c>
    </row>
    <row r="47" spans="1:11" ht="15.75" x14ac:dyDescent="0.25">
      <c r="A47" s="78"/>
      <c r="B47" s="55"/>
      <c r="C47" s="38"/>
      <c r="D47" s="39"/>
      <c r="E47" s="68"/>
      <c r="F47" s="65"/>
      <c r="G47" s="65"/>
    </row>
    <row r="48" spans="1:11" ht="15.75" x14ac:dyDescent="0.25">
      <c r="A48" s="137"/>
      <c r="B48" s="42"/>
      <c r="C48" s="191"/>
      <c r="D48" s="165"/>
      <c r="E48" s="79"/>
      <c r="F48" s="71"/>
      <c r="G48" s="71"/>
      <c r="H48" s="83"/>
      <c r="I48" s="83"/>
      <c r="J48" s="83"/>
      <c r="K48" s="83"/>
    </row>
    <row r="49" spans="1:11" ht="15.75" x14ac:dyDescent="0.25">
      <c r="A49" s="137"/>
      <c r="B49" s="42"/>
      <c r="C49" s="191"/>
      <c r="D49" s="165"/>
      <c r="E49" s="79"/>
      <c r="F49" s="71"/>
      <c r="G49" s="71"/>
      <c r="H49" s="83"/>
      <c r="I49" s="83"/>
      <c r="J49" s="83"/>
      <c r="K49" s="83"/>
    </row>
    <row r="50" spans="1:11" ht="15.75" x14ac:dyDescent="0.25">
      <c r="A50" s="137"/>
      <c r="B50" s="42"/>
      <c r="C50" s="191"/>
      <c r="D50" s="165"/>
      <c r="E50" s="79"/>
      <c r="F50" s="71"/>
      <c r="G50" s="71"/>
      <c r="H50" s="83"/>
      <c r="I50" s="83"/>
      <c r="J50" s="83"/>
      <c r="K50" s="83"/>
    </row>
    <row r="51" spans="1:11" ht="15.75" x14ac:dyDescent="0.25">
      <c r="A51" s="137"/>
      <c r="B51" s="42"/>
      <c r="C51" s="191"/>
      <c r="D51" s="165"/>
      <c r="E51" s="79"/>
      <c r="F51" s="71"/>
      <c r="G51" s="71"/>
      <c r="H51" s="83"/>
      <c r="I51" s="83"/>
      <c r="J51" s="83"/>
      <c r="K51" s="83"/>
    </row>
    <row r="52" spans="1:11" ht="15.75" x14ac:dyDescent="0.25">
      <c r="A52" s="137"/>
      <c r="B52" s="42"/>
      <c r="C52" s="191"/>
      <c r="D52" s="165"/>
      <c r="E52" s="79"/>
      <c r="F52" s="71"/>
      <c r="G52" s="71"/>
      <c r="H52" s="83"/>
      <c r="I52" s="83"/>
      <c r="J52" s="83"/>
      <c r="K52" s="83"/>
    </row>
    <row r="53" spans="1:11" ht="15.75" x14ac:dyDescent="0.25">
      <c r="A53" s="69"/>
      <c r="B53" s="42"/>
      <c r="C53" s="191"/>
      <c r="D53" s="165"/>
      <c r="E53" s="79"/>
      <c r="F53" s="71"/>
      <c r="G53" s="71"/>
    </row>
    <row r="54" spans="1:11" ht="15.75" x14ac:dyDescent="0.25">
      <c r="A54" s="69"/>
      <c r="B54" s="42"/>
      <c r="C54" s="113"/>
      <c r="D54" s="165"/>
      <c r="E54" s="79"/>
      <c r="F54" s="71"/>
      <c r="G54" s="71"/>
    </row>
    <row r="55" spans="1:11" ht="15.75" x14ac:dyDescent="0.25">
      <c r="A55" s="69"/>
      <c r="B55" s="42"/>
      <c r="C55" s="113"/>
      <c r="D55" s="165"/>
      <c r="E55" s="79"/>
      <c r="F55" s="71"/>
      <c r="G55" s="71"/>
    </row>
    <row r="56" spans="1:11" ht="15.75" x14ac:dyDescent="0.25">
      <c r="A56" s="117"/>
      <c r="B56" s="118"/>
      <c r="C56" s="119"/>
      <c r="D56" s="147"/>
      <c r="E56" s="73"/>
      <c r="F56" s="73"/>
      <c r="G56" s="121"/>
    </row>
    <row r="57" spans="1:11" ht="16.5" thickBot="1" x14ac:dyDescent="0.3">
      <c r="A57" s="72"/>
      <c r="B57" s="46"/>
      <c r="C57" s="119"/>
      <c r="D57" s="147"/>
      <c r="E57" s="73"/>
      <c r="F57" s="73"/>
      <c r="G57" s="121"/>
    </row>
    <row r="58" spans="1:11" ht="16.5" thickBot="1" x14ac:dyDescent="0.3">
      <c r="A58" s="122" t="s">
        <v>62</v>
      </c>
      <c r="B58" s="90"/>
      <c r="C58" s="91">
        <f>+C24+C46</f>
        <v>24000</v>
      </c>
      <c r="D58" s="126">
        <f>+D24+D46</f>
        <v>29300</v>
      </c>
      <c r="E58" s="93">
        <f>+E24+E46</f>
        <v>8000</v>
      </c>
      <c r="F58" s="93">
        <f>+F24+F46</f>
        <v>32800</v>
      </c>
      <c r="G58" s="93">
        <f>+G24+G46</f>
        <v>30300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topLeftCell="A2" workbookViewId="0">
      <pane ySplit="5" topLeftCell="A31" activePane="bottomLeft" state="frozen"/>
      <selection activeCell="A41" activeCellId="1" sqref="D13 A41"/>
      <selection pane="bottomLeft" activeCell="D48" sqref="D48:E48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372"/>
      <c r="C3" s="373"/>
      <c r="D3" s="373"/>
      <c r="E3" s="373"/>
      <c r="F3" s="373"/>
      <c r="G3" s="373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189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41" t="s">
        <v>378</v>
      </c>
      <c r="B7" s="296">
        <v>1987</v>
      </c>
      <c r="C7" s="47">
        <v>4500</v>
      </c>
      <c r="D7" s="157"/>
      <c r="E7" s="73"/>
      <c r="F7" s="73">
        <v>5000</v>
      </c>
      <c r="G7" s="121">
        <v>3000</v>
      </c>
    </row>
    <row r="8" spans="1:7" ht="15.75" x14ac:dyDescent="0.25">
      <c r="A8" s="341" t="s">
        <v>246</v>
      </c>
      <c r="B8" s="296">
        <v>1717</v>
      </c>
      <c r="C8" s="47">
        <v>400</v>
      </c>
      <c r="D8" s="157">
        <v>400</v>
      </c>
      <c r="E8" s="73">
        <v>400</v>
      </c>
      <c r="F8" s="73"/>
      <c r="G8" s="121"/>
    </row>
    <row r="9" spans="1:7" ht="15.75" x14ac:dyDescent="0.25">
      <c r="A9" s="341" t="s">
        <v>379</v>
      </c>
      <c r="B9" s="296">
        <v>1950</v>
      </c>
      <c r="C9" s="47"/>
      <c r="D9" s="411">
        <v>600</v>
      </c>
      <c r="E9" s="73"/>
      <c r="F9" s="73"/>
      <c r="G9" s="121"/>
    </row>
    <row r="10" spans="1:7" ht="15.75" x14ac:dyDescent="0.25">
      <c r="A10" s="341" t="s">
        <v>295</v>
      </c>
      <c r="B10" s="296">
        <v>1986</v>
      </c>
      <c r="C10" s="47"/>
      <c r="D10" s="157"/>
      <c r="E10" s="412">
        <v>1100</v>
      </c>
      <c r="F10" s="73"/>
      <c r="G10" s="121"/>
    </row>
    <row r="11" spans="1:7" ht="15.75" x14ac:dyDescent="0.25">
      <c r="A11" s="341" t="s">
        <v>2</v>
      </c>
      <c r="B11" s="296">
        <v>1982</v>
      </c>
      <c r="C11" s="47"/>
      <c r="D11" s="157"/>
      <c r="E11" s="73">
        <v>300</v>
      </c>
      <c r="F11" s="73"/>
      <c r="G11" s="121"/>
    </row>
    <row r="12" spans="1:7" ht="15.75" x14ac:dyDescent="0.25">
      <c r="A12" s="341" t="s">
        <v>309</v>
      </c>
      <c r="B12" s="296">
        <v>1706</v>
      </c>
      <c r="C12" s="47">
        <v>1850</v>
      </c>
      <c r="D12" s="157"/>
      <c r="E12" s="73"/>
      <c r="F12" s="73"/>
      <c r="G12" s="121"/>
    </row>
    <row r="13" spans="1:7" ht="15.75" x14ac:dyDescent="0.25">
      <c r="A13" s="341" t="s">
        <v>3</v>
      </c>
      <c r="B13" s="296">
        <v>1709</v>
      </c>
      <c r="C13" s="47">
        <v>1000</v>
      </c>
      <c r="D13" s="157">
        <v>500</v>
      </c>
      <c r="E13" s="73">
        <v>500</v>
      </c>
      <c r="F13" s="73">
        <v>500</v>
      </c>
      <c r="G13" s="73">
        <v>500</v>
      </c>
    </row>
    <row r="14" spans="1:7" ht="15.75" x14ac:dyDescent="0.25">
      <c r="A14" s="341" t="s">
        <v>221</v>
      </c>
      <c r="B14" s="296">
        <v>1710</v>
      </c>
      <c r="C14" s="47">
        <v>800</v>
      </c>
      <c r="D14" s="157">
        <v>800</v>
      </c>
      <c r="E14" s="73">
        <v>800</v>
      </c>
      <c r="F14" s="73">
        <v>800</v>
      </c>
      <c r="G14" s="73">
        <v>800</v>
      </c>
    </row>
    <row r="15" spans="1:7" ht="15.75" x14ac:dyDescent="0.25">
      <c r="A15" s="69" t="s">
        <v>195</v>
      </c>
      <c r="B15" s="42">
        <v>1981</v>
      </c>
      <c r="C15" s="43">
        <v>200</v>
      </c>
      <c r="D15" s="70">
        <v>200</v>
      </c>
      <c r="E15" s="71">
        <v>200</v>
      </c>
      <c r="F15" s="71">
        <v>200</v>
      </c>
      <c r="G15" s="71">
        <v>200</v>
      </c>
    </row>
    <row r="16" spans="1:7" ht="15.75" x14ac:dyDescent="0.25">
      <c r="A16" s="69" t="s">
        <v>95</v>
      </c>
      <c r="B16" s="42">
        <v>1711</v>
      </c>
      <c r="C16" s="43">
        <v>500</v>
      </c>
      <c r="D16" s="70">
        <v>500</v>
      </c>
      <c r="E16" s="71">
        <v>800</v>
      </c>
      <c r="F16" s="71">
        <v>800</v>
      </c>
      <c r="G16" s="71">
        <v>800</v>
      </c>
    </row>
    <row r="17" spans="1:8" ht="15.75" x14ac:dyDescent="0.25">
      <c r="A17" s="69" t="s">
        <v>96</v>
      </c>
      <c r="B17" s="42">
        <v>1774</v>
      </c>
      <c r="C17" s="43">
        <v>500</v>
      </c>
      <c r="D17" s="70">
        <v>500</v>
      </c>
      <c r="E17" s="71">
        <v>500</v>
      </c>
      <c r="F17" s="71">
        <v>500</v>
      </c>
      <c r="G17" s="71">
        <v>500</v>
      </c>
    </row>
    <row r="18" spans="1:8" ht="15.75" x14ac:dyDescent="0.25">
      <c r="A18" s="114" t="s">
        <v>97</v>
      </c>
      <c r="B18" s="61">
        <v>1414</v>
      </c>
      <c r="C18" s="62">
        <v>300</v>
      </c>
      <c r="D18" s="357">
        <v>300</v>
      </c>
      <c r="E18" s="71">
        <v>300</v>
      </c>
      <c r="F18" s="71">
        <v>300</v>
      </c>
      <c r="G18" s="71">
        <v>300</v>
      </c>
    </row>
    <row r="19" spans="1:8" ht="15.75" x14ac:dyDescent="0.25">
      <c r="A19" s="69" t="s">
        <v>106</v>
      </c>
      <c r="B19" s="42">
        <v>1425</v>
      </c>
      <c r="C19" s="43">
        <v>250</v>
      </c>
      <c r="D19" s="70">
        <v>250</v>
      </c>
      <c r="E19" s="71">
        <v>250</v>
      </c>
      <c r="F19" s="71">
        <v>250</v>
      </c>
      <c r="G19" s="71">
        <v>250</v>
      </c>
    </row>
    <row r="20" spans="1:8" ht="15.75" x14ac:dyDescent="0.25">
      <c r="A20" s="69" t="s">
        <v>203</v>
      </c>
      <c r="B20" s="42">
        <v>1713</v>
      </c>
      <c r="C20" s="43">
        <v>800</v>
      </c>
      <c r="D20" s="70"/>
      <c r="E20" s="71"/>
      <c r="F20" s="71"/>
      <c r="G20" s="71"/>
    </row>
    <row r="21" spans="1:8" ht="15.75" x14ac:dyDescent="0.25">
      <c r="A21" s="54" t="s">
        <v>98</v>
      </c>
      <c r="B21" s="327">
        <v>1401</v>
      </c>
      <c r="C21" s="38">
        <v>1000</v>
      </c>
      <c r="D21" s="39">
        <v>1000</v>
      </c>
      <c r="E21" s="68">
        <v>3000</v>
      </c>
      <c r="F21" s="65">
        <v>3000</v>
      </c>
      <c r="G21" s="65">
        <v>3000</v>
      </c>
      <c r="H21" s="83"/>
    </row>
    <row r="22" spans="1:8" ht="15.75" x14ac:dyDescent="0.25">
      <c r="A22" s="54" t="s">
        <v>182</v>
      </c>
      <c r="B22" s="327">
        <v>1830</v>
      </c>
      <c r="C22" s="38">
        <v>1000</v>
      </c>
      <c r="D22" s="413">
        <v>3000</v>
      </c>
      <c r="E22" s="414">
        <v>4000</v>
      </c>
      <c r="F22" s="65">
        <v>4000</v>
      </c>
      <c r="G22" s="65">
        <v>4000</v>
      </c>
      <c r="H22" s="83"/>
    </row>
    <row r="23" spans="1:8" ht="15.75" x14ac:dyDescent="0.25">
      <c r="A23" s="69" t="s">
        <v>204</v>
      </c>
      <c r="B23" s="42">
        <v>1713</v>
      </c>
      <c r="C23" s="43"/>
      <c r="D23" s="70">
        <v>600</v>
      </c>
      <c r="E23" s="71"/>
      <c r="F23" s="71"/>
      <c r="G23" s="71"/>
      <c r="H23" s="83"/>
    </row>
    <row r="24" spans="1:8" ht="15.75" x14ac:dyDescent="0.25">
      <c r="A24" s="341" t="s">
        <v>205</v>
      </c>
      <c r="B24" s="296">
        <v>1821</v>
      </c>
      <c r="C24" s="47">
        <v>2000</v>
      </c>
      <c r="D24" s="157"/>
      <c r="E24" s="73"/>
      <c r="F24" s="73"/>
      <c r="G24" s="73"/>
      <c r="H24" s="83"/>
    </row>
    <row r="25" spans="1:8" ht="15.75" x14ac:dyDescent="0.25">
      <c r="A25" s="341" t="s">
        <v>206</v>
      </c>
      <c r="B25" s="296">
        <v>1714</v>
      </c>
      <c r="C25" s="47">
        <v>3000</v>
      </c>
      <c r="D25" s="157">
        <v>3000</v>
      </c>
      <c r="E25" s="73">
        <v>3000</v>
      </c>
      <c r="F25" s="73">
        <v>3000</v>
      </c>
      <c r="G25" s="73">
        <v>3000</v>
      </c>
      <c r="H25" s="83"/>
    </row>
    <row r="26" spans="1:8" ht="15.75" x14ac:dyDescent="0.25">
      <c r="A26" s="69" t="s">
        <v>310</v>
      </c>
      <c r="B26" s="42">
        <v>1981</v>
      </c>
      <c r="C26" s="43"/>
      <c r="D26" s="70">
        <v>250</v>
      </c>
      <c r="E26" s="71">
        <v>250</v>
      </c>
      <c r="F26" s="71">
        <v>500</v>
      </c>
      <c r="G26" s="71">
        <v>700</v>
      </c>
      <c r="H26" s="83"/>
    </row>
    <row r="27" spans="1:8" s="200" customFormat="1" ht="15.75" x14ac:dyDescent="0.25">
      <c r="A27" s="341" t="s">
        <v>174</v>
      </c>
      <c r="B27" s="296">
        <v>1838</v>
      </c>
      <c r="C27" s="47">
        <v>200</v>
      </c>
      <c r="D27" s="157"/>
      <c r="E27" s="73"/>
      <c r="F27" s="73"/>
      <c r="G27" s="121"/>
      <c r="H27" s="83"/>
    </row>
    <row r="28" spans="1:8" s="200" customFormat="1" ht="15.75" x14ac:dyDescent="0.25">
      <c r="A28" s="341" t="s">
        <v>296</v>
      </c>
      <c r="B28" s="296">
        <v>1840</v>
      </c>
      <c r="C28" s="47"/>
      <c r="D28" s="157">
        <v>200</v>
      </c>
      <c r="E28" s="73"/>
      <c r="F28" s="73"/>
      <c r="G28" s="121"/>
      <c r="H28" s="83"/>
    </row>
    <row r="29" spans="1:8" s="200" customFormat="1" ht="15.75" x14ac:dyDescent="0.25">
      <c r="A29" s="341" t="s">
        <v>308</v>
      </c>
      <c r="B29" s="296">
        <v>1707</v>
      </c>
      <c r="C29" s="47"/>
      <c r="D29" s="157"/>
      <c r="E29" s="73"/>
      <c r="F29" s="412">
        <v>550</v>
      </c>
      <c r="G29" s="121"/>
      <c r="H29" s="83"/>
    </row>
    <row r="30" spans="1:8" s="200" customFormat="1" ht="15.75" x14ac:dyDescent="0.25">
      <c r="A30" s="341" t="s">
        <v>167</v>
      </c>
      <c r="B30" s="296">
        <v>1793</v>
      </c>
      <c r="C30" s="47">
        <v>200</v>
      </c>
      <c r="D30" s="157"/>
      <c r="E30" s="73"/>
      <c r="F30" s="73"/>
      <c r="G30" s="121"/>
      <c r="H30" s="83"/>
    </row>
    <row r="31" spans="1:8" s="200" customFormat="1" ht="15.75" x14ac:dyDescent="0.25">
      <c r="A31" s="341" t="s">
        <v>225</v>
      </c>
      <c r="B31" s="296">
        <v>1833</v>
      </c>
      <c r="C31" s="47">
        <v>5600</v>
      </c>
      <c r="D31" s="157"/>
      <c r="E31" s="73"/>
      <c r="F31" s="73"/>
      <c r="G31" s="121"/>
      <c r="H31" s="83"/>
    </row>
    <row r="32" spans="1:8" s="200" customFormat="1" ht="15.75" x14ac:dyDescent="0.25">
      <c r="A32" s="341" t="s">
        <v>384</v>
      </c>
      <c r="B32" s="296">
        <v>1813</v>
      </c>
      <c r="C32" s="47"/>
      <c r="D32" s="157"/>
      <c r="E32" s="73"/>
      <c r="F32" s="73"/>
      <c r="G32" s="121">
        <v>1000</v>
      </c>
      <c r="H32" s="83"/>
    </row>
    <row r="33" spans="1:8" s="200" customFormat="1" ht="15.75" x14ac:dyDescent="0.25">
      <c r="A33" s="341" t="s">
        <v>387</v>
      </c>
      <c r="B33" s="296">
        <v>1814</v>
      </c>
      <c r="C33" s="47"/>
      <c r="D33" s="411">
        <v>100</v>
      </c>
      <c r="E33" s="73"/>
      <c r="F33" s="73"/>
      <c r="G33" s="121"/>
      <c r="H33" s="83"/>
    </row>
    <row r="34" spans="1:8" s="200" customFormat="1" ht="15.75" x14ac:dyDescent="0.25">
      <c r="A34" s="69" t="s">
        <v>8</v>
      </c>
      <c r="B34" s="296">
        <v>1207</v>
      </c>
      <c r="C34" s="47">
        <v>1000</v>
      </c>
      <c r="D34" s="157">
        <v>900</v>
      </c>
      <c r="E34" s="412">
        <v>3000</v>
      </c>
      <c r="F34" s="412">
        <v>3000</v>
      </c>
      <c r="G34" s="410">
        <v>3000</v>
      </c>
      <c r="H34" s="83"/>
    </row>
    <row r="35" spans="1:8" s="200" customFormat="1" ht="15.75" x14ac:dyDescent="0.25">
      <c r="A35" s="72" t="s">
        <v>429</v>
      </c>
      <c r="B35" s="296">
        <v>1415</v>
      </c>
      <c r="C35" s="47"/>
      <c r="D35" s="411">
        <v>400</v>
      </c>
      <c r="E35" s="73"/>
      <c r="F35" s="73"/>
      <c r="G35" s="121"/>
      <c r="H35" s="83"/>
    </row>
    <row r="36" spans="1:8" s="200" customFormat="1" ht="15.75" x14ac:dyDescent="0.25">
      <c r="A36" s="341" t="s">
        <v>1</v>
      </c>
      <c r="B36" s="296">
        <v>1775</v>
      </c>
      <c r="C36" s="47">
        <v>0</v>
      </c>
      <c r="D36" s="157">
        <v>1800</v>
      </c>
      <c r="E36" s="73">
        <v>1800</v>
      </c>
      <c r="F36" s="73"/>
      <c r="G36" s="121"/>
      <c r="H36" s="83"/>
    </row>
    <row r="37" spans="1:8" s="200" customFormat="1" ht="15.75" x14ac:dyDescent="0.25">
      <c r="A37" s="341" t="s">
        <v>286</v>
      </c>
      <c r="B37" s="296">
        <v>1718</v>
      </c>
      <c r="C37" s="47">
        <v>0</v>
      </c>
      <c r="D37" s="157">
        <v>3000</v>
      </c>
      <c r="E37" s="73">
        <v>3000</v>
      </c>
      <c r="F37" s="73">
        <v>2500</v>
      </c>
      <c r="G37" s="121"/>
      <c r="H37" s="83"/>
    </row>
    <row r="38" spans="1:8" s="200" customFormat="1" ht="15.75" x14ac:dyDescent="0.25">
      <c r="A38" s="341" t="s">
        <v>287</v>
      </c>
      <c r="B38" s="296">
        <v>1730</v>
      </c>
      <c r="C38" s="47">
        <v>950</v>
      </c>
      <c r="D38" s="411">
        <v>900</v>
      </c>
      <c r="E38" s="412">
        <v>850</v>
      </c>
      <c r="F38" s="412">
        <v>800</v>
      </c>
      <c r="G38" s="121"/>
      <c r="H38" s="83"/>
    </row>
    <row r="39" spans="1:8" s="200" customFormat="1" ht="15.75" x14ac:dyDescent="0.25">
      <c r="A39" s="341" t="s">
        <v>311</v>
      </c>
      <c r="B39" s="296">
        <v>1719</v>
      </c>
      <c r="C39" s="47"/>
      <c r="D39" s="157"/>
      <c r="E39" s="73"/>
      <c r="F39" s="73">
        <v>1800</v>
      </c>
      <c r="G39" s="121"/>
      <c r="H39" s="83"/>
    </row>
    <row r="40" spans="1:8" s="200" customFormat="1" ht="15.75" x14ac:dyDescent="0.25">
      <c r="A40" s="341" t="s">
        <v>312</v>
      </c>
      <c r="B40" s="296">
        <v>1721</v>
      </c>
      <c r="C40" s="47">
        <v>0</v>
      </c>
      <c r="D40" s="157">
        <v>350</v>
      </c>
      <c r="E40" s="73"/>
      <c r="F40" s="73"/>
      <c r="G40" s="121"/>
      <c r="H40" s="83"/>
    </row>
    <row r="41" spans="1:8" s="200" customFormat="1" ht="15.75" x14ac:dyDescent="0.25">
      <c r="A41" s="341" t="s">
        <v>313</v>
      </c>
      <c r="B41" s="296">
        <v>1140</v>
      </c>
      <c r="C41" s="47">
        <v>27000</v>
      </c>
      <c r="D41" s="411">
        <f>5000+5000</f>
        <v>10000</v>
      </c>
      <c r="E41" s="412">
        <f>15000+10000</f>
        <v>25000</v>
      </c>
      <c r="F41" s="412">
        <f>15000+10000</f>
        <v>25000</v>
      </c>
      <c r="G41" s="121">
        <v>15000</v>
      </c>
      <c r="H41" s="83"/>
    </row>
    <row r="42" spans="1:8" s="200" customFormat="1" ht="15.75" x14ac:dyDescent="0.25">
      <c r="A42" s="341" t="s">
        <v>332</v>
      </c>
      <c r="B42" s="296">
        <v>1416</v>
      </c>
      <c r="C42" s="47">
        <v>150</v>
      </c>
      <c r="D42" s="411">
        <v>500</v>
      </c>
      <c r="E42" s="73"/>
      <c r="F42" s="73"/>
      <c r="G42" s="121"/>
      <c r="H42" s="83"/>
    </row>
    <row r="43" spans="1:8" s="200" customFormat="1" ht="15.75" x14ac:dyDescent="0.25">
      <c r="A43" s="341" t="s">
        <v>344</v>
      </c>
      <c r="B43" s="296">
        <v>1896</v>
      </c>
      <c r="C43" s="47">
        <v>3000</v>
      </c>
      <c r="D43" s="157"/>
      <c r="E43" s="73"/>
      <c r="F43" s="73"/>
      <c r="G43" s="121"/>
      <c r="H43" s="83"/>
    </row>
    <row r="44" spans="1:8" s="200" customFormat="1" ht="15.75" x14ac:dyDescent="0.25">
      <c r="A44" s="341" t="s">
        <v>367</v>
      </c>
      <c r="B44" s="296">
        <v>1712</v>
      </c>
      <c r="C44" s="47"/>
      <c r="D44" s="445">
        <v>1500</v>
      </c>
      <c r="E44" s="429">
        <v>3000</v>
      </c>
      <c r="F44" s="73"/>
      <c r="G44" s="435">
        <v>0</v>
      </c>
      <c r="H44" s="83"/>
    </row>
    <row r="45" spans="1:8" s="200" customFormat="1" ht="15.75" x14ac:dyDescent="0.25">
      <c r="A45" s="341" t="s">
        <v>388</v>
      </c>
      <c r="B45" s="296">
        <v>1777</v>
      </c>
      <c r="C45" s="47"/>
      <c r="D45" s="411">
        <v>950</v>
      </c>
      <c r="E45" s="73"/>
      <c r="F45" s="73"/>
      <c r="G45" s="121"/>
      <c r="H45" s="83"/>
    </row>
    <row r="46" spans="1:8" s="200" customFormat="1" ht="15.75" x14ac:dyDescent="0.25">
      <c r="A46" s="341" t="s">
        <v>389</v>
      </c>
      <c r="B46" s="296">
        <v>1778</v>
      </c>
      <c r="C46" s="47"/>
      <c r="D46" s="411">
        <v>300</v>
      </c>
      <c r="E46" s="73"/>
      <c r="F46" s="73"/>
      <c r="G46" s="121"/>
      <c r="H46" s="83"/>
    </row>
    <row r="47" spans="1:8" s="200" customFormat="1" ht="15.75" x14ac:dyDescent="0.25">
      <c r="A47" s="341" t="s">
        <v>390</v>
      </c>
      <c r="B47" s="296">
        <v>1780</v>
      </c>
      <c r="C47" s="47"/>
      <c r="D47" s="411">
        <v>400</v>
      </c>
      <c r="E47" s="73"/>
      <c r="F47" s="73"/>
      <c r="G47" s="121"/>
      <c r="H47" s="83"/>
    </row>
    <row r="48" spans="1:8" s="200" customFormat="1" ht="15.75" x14ac:dyDescent="0.25">
      <c r="A48" s="446" t="s">
        <v>446</v>
      </c>
      <c r="B48" s="447" t="s">
        <v>445</v>
      </c>
      <c r="C48" s="47"/>
      <c r="D48" s="445">
        <v>750</v>
      </c>
      <c r="E48" s="429">
        <v>750</v>
      </c>
      <c r="F48" s="73"/>
      <c r="G48" s="121"/>
      <c r="H48" s="83"/>
    </row>
    <row r="49" spans="1:9" s="200" customFormat="1" ht="15.75" x14ac:dyDescent="0.25">
      <c r="A49" s="341"/>
      <c r="B49" s="296"/>
      <c r="C49" s="47"/>
      <c r="D49" s="157"/>
      <c r="E49" s="73"/>
      <c r="F49" s="73"/>
      <c r="G49" s="121"/>
      <c r="H49" s="83"/>
    </row>
    <row r="50" spans="1:9" s="200" customFormat="1" ht="15.75" x14ac:dyDescent="0.25">
      <c r="A50" s="341"/>
      <c r="B50" s="296"/>
      <c r="C50" s="47"/>
      <c r="D50" s="157"/>
      <c r="E50" s="73"/>
      <c r="F50" s="73"/>
      <c r="G50" s="121"/>
      <c r="H50" s="83"/>
    </row>
    <row r="51" spans="1:9" s="200" customFormat="1" ht="15.75" x14ac:dyDescent="0.25">
      <c r="A51" s="341"/>
      <c r="B51" s="296"/>
      <c r="C51" s="47"/>
      <c r="D51" s="157"/>
      <c r="E51" s="73"/>
      <c r="F51" s="73"/>
      <c r="G51" s="121"/>
      <c r="H51" s="83"/>
    </row>
    <row r="52" spans="1:9" s="200" customFormat="1" ht="15.75" x14ac:dyDescent="0.25">
      <c r="A52" s="341"/>
      <c r="B52" s="296"/>
      <c r="C52" s="47"/>
      <c r="D52" s="157"/>
      <c r="E52" s="73"/>
      <c r="F52" s="73"/>
      <c r="G52" s="121"/>
      <c r="H52" s="83"/>
    </row>
    <row r="53" spans="1:9" s="200" customFormat="1" ht="15.75" x14ac:dyDescent="0.25">
      <c r="A53" s="341"/>
      <c r="B53" s="296"/>
      <c r="C53" s="47"/>
      <c r="D53" s="157"/>
      <c r="E53" s="73"/>
      <c r="F53" s="73"/>
      <c r="G53" s="121"/>
      <c r="H53" s="83"/>
    </row>
    <row r="54" spans="1:9" s="200" customFormat="1" ht="15.75" x14ac:dyDescent="0.25">
      <c r="A54" s="341"/>
      <c r="B54" s="296"/>
      <c r="C54" s="47"/>
      <c r="D54" s="157"/>
      <c r="E54" s="73"/>
      <c r="F54" s="73"/>
      <c r="G54" s="121"/>
      <c r="H54" s="83"/>
    </row>
    <row r="55" spans="1:9" s="200" customFormat="1" ht="15.75" x14ac:dyDescent="0.25">
      <c r="A55" s="341"/>
      <c r="B55" s="296"/>
      <c r="C55" s="47"/>
      <c r="D55" s="157"/>
      <c r="E55" s="73"/>
      <c r="F55" s="73"/>
      <c r="G55" s="121"/>
      <c r="H55" s="83"/>
    </row>
    <row r="56" spans="1:9" s="200" customFormat="1" ht="16.5" thickBot="1" x14ac:dyDescent="0.3">
      <c r="A56" s="341"/>
      <c r="B56" s="296"/>
      <c r="C56" s="47"/>
      <c r="D56" s="157"/>
      <c r="E56" s="73"/>
      <c r="F56" s="73"/>
      <c r="G56" s="121"/>
      <c r="H56" s="83"/>
    </row>
    <row r="57" spans="1:9" ht="16.5" thickBot="1" x14ac:dyDescent="0.3">
      <c r="A57" s="89" t="s">
        <v>99</v>
      </c>
      <c r="B57" s="90"/>
      <c r="C57" s="91">
        <f>SUM(C7:C56)</f>
        <v>56200</v>
      </c>
      <c r="D57" s="126">
        <f>SUM(D7:D56)</f>
        <v>33950</v>
      </c>
      <c r="E57" s="93">
        <f>SUM(E7:E56)</f>
        <v>52800</v>
      </c>
      <c r="F57" s="93">
        <f>SUM(F7:F56)</f>
        <v>52500</v>
      </c>
      <c r="G57" s="93">
        <f>SUM(G7:G56)</f>
        <v>36050</v>
      </c>
      <c r="H57" s="83"/>
    </row>
    <row r="58" spans="1:9" x14ac:dyDescent="0.2">
      <c r="C58" s="361"/>
    </row>
    <row r="64" spans="1:9" ht="15" x14ac:dyDescent="0.25">
      <c r="I64" s="3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="80" zoomScaleNormal="80" workbookViewId="0">
      <pane xSplit="2" ySplit="6" topLeftCell="C28" activePane="bottomRight" state="frozen"/>
      <selection activeCell="A41" activeCellId="1" sqref="D13 A41"/>
      <selection pane="topRight" activeCell="A41" activeCellId="1" sqref="D13 A41"/>
      <selection pane="bottomLeft" activeCell="A41" activeCellId="1" sqref="D13 A41"/>
      <selection pane="bottomRight" activeCell="P28" sqref="P28"/>
    </sheetView>
  </sheetViews>
  <sheetFormatPr baseColWidth="10" defaultColWidth="9.85546875" defaultRowHeight="12.75" x14ac:dyDescent="0.2"/>
  <cols>
    <col min="1" max="1" width="11.42578125" style="1" customWidth="1"/>
    <col min="2" max="2" width="36.42578125" style="1" customWidth="1"/>
    <col min="3" max="3" width="11.42578125" style="2" customWidth="1"/>
    <col min="4" max="4" width="13.42578125" style="3" customWidth="1"/>
    <col min="5" max="5" width="13.140625" style="3" customWidth="1"/>
    <col min="6" max="9" width="11.7109375" style="3" customWidth="1"/>
    <col min="10" max="16384" width="9.85546875" style="1"/>
  </cols>
  <sheetData>
    <row r="1" spans="2:12" ht="15.75" x14ac:dyDescent="0.25">
      <c r="B1" s="197" t="s">
        <v>352</v>
      </c>
      <c r="E1" s="4"/>
    </row>
    <row r="2" spans="2:12" ht="25.5" x14ac:dyDescent="0.35">
      <c r="B2" s="151" t="s">
        <v>18</v>
      </c>
      <c r="C2" s="6"/>
      <c r="D2" s="7"/>
      <c r="E2" s="7"/>
      <c r="F2" s="7"/>
      <c r="G2" s="7"/>
      <c r="H2" s="8"/>
      <c r="I2" s="328" t="s">
        <v>447</v>
      </c>
    </row>
    <row r="3" spans="2:12" ht="18" x14ac:dyDescent="0.25">
      <c r="B3" s="10"/>
      <c r="C3" s="11"/>
      <c r="D3" s="12"/>
      <c r="E3" s="12"/>
      <c r="F3" s="12"/>
      <c r="G3" s="12"/>
      <c r="H3" s="12"/>
      <c r="I3" s="12"/>
    </row>
    <row r="4" spans="2:12" ht="22.5" x14ac:dyDescent="0.3">
      <c r="B4" s="13"/>
      <c r="C4" s="14"/>
      <c r="D4" s="15"/>
      <c r="E4" s="16" t="s">
        <v>20</v>
      </c>
      <c r="F4" s="17"/>
      <c r="G4" s="18" t="s">
        <v>21</v>
      </c>
      <c r="H4" s="19"/>
      <c r="I4" s="19"/>
    </row>
    <row r="5" spans="2:12" ht="18.75" x14ac:dyDescent="0.3">
      <c r="B5" s="21"/>
      <c r="C5" s="22"/>
      <c r="D5" s="23" t="s">
        <v>22</v>
      </c>
      <c r="E5" s="24" t="s">
        <v>23</v>
      </c>
      <c r="F5" s="25" t="s">
        <v>24</v>
      </c>
      <c r="G5" s="26"/>
      <c r="H5" s="27"/>
      <c r="I5" s="27"/>
    </row>
    <row r="6" spans="2:12" ht="20.25" x14ac:dyDescent="0.3">
      <c r="B6" s="29" t="s">
        <v>25</v>
      </c>
      <c r="C6" s="30" t="s">
        <v>26</v>
      </c>
      <c r="D6" s="31">
        <v>2014</v>
      </c>
      <c r="E6" s="32">
        <v>2015</v>
      </c>
      <c r="F6" s="33">
        <v>2016</v>
      </c>
      <c r="G6" s="34">
        <v>2017</v>
      </c>
      <c r="H6" s="35">
        <v>2018</v>
      </c>
      <c r="I6" s="35">
        <v>2019</v>
      </c>
    </row>
    <row r="7" spans="2:12" ht="15.75" x14ac:dyDescent="0.25">
      <c r="B7" s="36" t="s">
        <v>27</v>
      </c>
      <c r="C7" s="37"/>
      <c r="D7" s="38"/>
      <c r="E7" s="293"/>
      <c r="F7" s="39"/>
      <c r="G7" s="40"/>
      <c r="H7" s="40"/>
      <c r="I7" s="40"/>
    </row>
    <row r="8" spans="2:12" ht="15.75" x14ac:dyDescent="0.25">
      <c r="B8" s="41" t="s">
        <v>28</v>
      </c>
      <c r="C8" s="42">
        <v>8000</v>
      </c>
      <c r="D8" s="62">
        <v>-405027</v>
      </c>
      <c r="E8" s="334">
        <v>-404550</v>
      </c>
      <c r="F8" s="413">
        <f>-426700</f>
        <v>-426700</v>
      </c>
      <c r="G8" s="409">
        <f t="shared" ref="G8:I10" si="0">+F8</f>
        <v>-426700</v>
      </c>
      <c r="H8" s="409">
        <f t="shared" si="0"/>
        <v>-426700</v>
      </c>
      <c r="I8" s="409">
        <f t="shared" si="0"/>
        <v>-426700</v>
      </c>
      <c r="J8" s="200"/>
    </row>
    <row r="9" spans="2:12" ht="15.75" x14ac:dyDescent="0.25">
      <c r="B9" s="41" t="s">
        <v>260</v>
      </c>
      <c r="C9" s="42">
        <v>8040</v>
      </c>
      <c r="D9" s="62">
        <v>6797</v>
      </c>
      <c r="E9" s="334">
        <v>10900</v>
      </c>
      <c r="F9" s="413">
        <v>9750</v>
      </c>
      <c r="G9" s="409">
        <f t="shared" si="0"/>
        <v>9750</v>
      </c>
      <c r="H9" s="409">
        <f t="shared" si="0"/>
        <v>9750</v>
      </c>
      <c r="I9" s="409">
        <f t="shared" si="0"/>
        <v>9750</v>
      </c>
      <c r="J9" s="200"/>
    </row>
    <row r="10" spans="2:12" ht="15.75" x14ac:dyDescent="0.25">
      <c r="B10" s="41" t="s">
        <v>29</v>
      </c>
      <c r="C10" s="42">
        <v>8040</v>
      </c>
      <c r="D10" s="62">
        <v>-314453</v>
      </c>
      <c r="E10" s="334">
        <v>-333890</v>
      </c>
      <c r="F10" s="413">
        <f>-343460+1800</f>
        <v>-341660</v>
      </c>
      <c r="G10" s="409">
        <f t="shared" si="0"/>
        <v>-341660</v>
      </c>
      <c r="H10" s="409">
        <f t="shared" si="0"/>
        <v>-341660</v>
      </c>
      <c r="I10" s="409">
        <f t="shared" si="0"/>
        <v>-341660</v>
      </c>
      <c r="J10" s="200"/>
    </row>
    <row r="11" spans="2:12" ht="15.75" x14ac:dyDescent="0.25">
      <c r="B11" s="41" t="s">
        <v>100</v>
      </c>
      <c r="C11" s="42">
        <v>8040</v>
      </c>
      <c r="D11" s="62">
        <v>-2020</v>
      </c>
      <c r="E11" s="334">
        <v>-1800</v>
      </c>
      <c r="F11" s="413">
        <v>-1800</v>
      </c>
      <c r="G11" s="409">
        <v>-1800</v>
      </c>
      <c r="H11" s="409">
        <v>-1800</v>
      </c>
      <c r="I11" s="409">
        <f t="shared" ref="I11" si="1">+H11</f>
        <v>-1800</v>
      </c>
      <c r="J11" s="200"/>
    </row>
    <row r="12" spans="2:12" ht="15.75" x14ac:dyDescent="0.25">
      <c r="B12" s="41" t="s">
        <v>156</v>
      </c>
      <c r="C12" s="42">
        <v>8045</v>
      </c>
      <c r="D12" s="62">
        <v>-24500</v>
      </c>
      <c r="E12" s="334">
        <v>-20850</v>
      </c>
      <c r="F12" s="39">
        <v>-20850</v>
      </c>
      <c r="G12" s="40">
        <v>-20850</v>
      </c>
      <c r="H12" s="40">
        <v>-20850</v>
      </c>
      <c r="I12" s="40">
        <f>-21000-650+800</f>
        <v>-20850</v>
      </c>
      <c r="J12" s="200"/>
    </row>
    <row r="13" spans="2:12" ht="15.75" x14ac:dyDescent="0.25">
      <c r="B13" s="41" t="s">
        <v>30</v>
      </c>
      <c r="C13" s="42">
        <v>8043</v>
      </c>
      <c r="D13" s="62">
        <v>-3559</v>
      </c>
      <c r="E13" s="334">
        <v>-3400</v>
      </c>
      <c r="F13" s="413">
        <f>-3345+40</f>
        <v>-3305</v>
      </c>
      <c r="G13" s="409">
        <f>-3295+40</f>
        <v>-3255</v>
      </c>
      <c r="H13" s="409">
        <f>-3295+90</f>
        <v>-3205</v>
      </c>
      <c r="I13" s="409">
        <f>-3295+135</f>
        <v>-3160</v>
      </c>
      <c r="J13" s="200"/>
    </row>
    <row r="14" spans="2:12" ht="15.75" x14ac:dyDescent="0.25">
      <c r="B14" s="41" t="s">
        <v>31</v>
      </c>
      <c r="C14" s="42">
        <v>8045</v>
      </c>
      <c r="D14" s="62">
        <v>-55031</v>
      </c>
      <c r="E14" s="334">
        <v>-53500</v>
      </c>
      <c r="F14" s="39">
        <v>-52500</v>
      </c>
      <c r="G14" s="40">
        <v>-51500</v>
      </c>
      <c r="H14" s="40">
        <v>-51500</v>
      </c>
      <c r="I14" s="40">
        <v>-51500</v>
      </c>
      <c r="J14" s="200"/>
    </row>
    <row r="15" spans="2:12" ht="15.75" x14ac:dyDescent="0.25">
      <c r="B15" s="41" t="s">
        <v>32</v>
      </c>
      <c r="C15" s="42">
        <v>8050</v>
      </c>
      <c r="D15" s="62">
        <v>-22112</v>
      </c>
      <c r="E15" s="334">
        <v>-31000</v>
      </c>
      <c r="F15" s="413">
        <f>-29000-6400</f>
        <v>-35400</v>
      </c>
      <c r="G15" s="409">
        <f>-29000-6400</f>
        <v>-35400</v>
      </c>
      <c r="H15" s="409">
        <f>-29000-6000</f>
        <v>-35000</v>
      </c>
      <c r="I15" s="409">
        <f>-28000-1000-6000</f>
        <v>-35000</v>
      </c>
      <c r="J15" s="200"/>
    </row>
    <row r="16" spans="2:12" ht="15.75" x14ac:dyDescent="0.25">
      <c r="B16" s="41" t="s">
        <v>107</v>
      </c>
      <c r="C16" s="42">
        <v>8010</v>
      </c>
      <c r="D16" s="62">
        <v>-27156</v>
      </c>
      <c r="E16" s="334">
        <v>-27750</v>
      </c>
      <c r="F16" s="440">
        <v>-28750</v>
      </c>
      <c r="G16" s="441">
        <v>-29350</v>
      </c>
      <c r="H16" s="441">
        <v>-29950</v>
      </c>
      <c r="I16" s="441">
        <v>-30950</v>
      </c>
      <c r="J16" s="200"/>
      <c r="L16" s="3"/>
    </row>
    <row r="17" spans="2:11" ht="15.75" x14ac:dyDescent="0.25">
      <c r="B17" s="41" t="s">
        <v>184</v>
      </c>
      <c r="C17" s="42">
        <v>8010</v>
      </c>
      <c r="D17" s="62">
        <v>0</v>
      </c>
      <c r="E17" s="334">
        <v>0</v>
      </c>
      <c r="F17" s="413">
        <v>-1400</v>
      </c>
      <c r="G17" s="40">
        <v>-11940</v>
      </c>
      <c r="H17" s="40">
        <v>-11940</v>
      </c>
      <c r="I17" s="40">
        <v>-11940</v>
      </c>
      <c r="J17" s="200"/>
    </row>
    <row r="18" spans="2:11" ht="15.75" x14ac:dyDescent="0.25">
      <c r="B18" s="41" t="s">
        <v>33</v>
      </c>
      <c r="C18" s="42">
        <v>8041</v>
      </c>
      <c r="D18" s="62">
        <v>-16705</v>
      </c>
      <c r="E18" s="334">
        <v>-18215</v>
      </c>
      <c r="F18" s="413">
        <f>-18215-135</f>
        <v>-18350</v>
      </c>
      <c r="G18" s="409">
        <f>+F18</f>
        <v>-18350</v>
      </c>
      <c r="H18" s="409">
        <f>+G18</f>
        <v>-18350</v>
      </c>
      <c r="I18" s="409">
        <f>+H18</f>
        <v>-18350</v>
      </c>
      <c r="J18" s="200"/>
    </row>
    <row r="19" spans="2:11" ht="15.75" x14ac:dyDescent="0.25">
      <c r="B19" s="45" t="s">
        <v>34</v>
      </c>
      <c r="C19" s="46">
        <v>8042</v>
      </c>
      <c r="D19" s="355">
        <v>-568</v>
      </c>
      <c r="E19" s="334">
        <v>-450</v>
      </c>
      <c r="F19" s="39">
        <v>-450</v>
      </c>
      <c r="G19" s="40">
        <v>-450</v>
      </c>
      <c r="H19" s="40">
        <v>-450</v>
      </c>
      <c r="I19" s="40">
        <v>-450</v>
      </c>
      <c r="J19" s="200"/>
    </row>
    <row r="20" spans="2:11" ht="15.75" x14ac:dyDescent="0.25">
      <c r="B20" s="45" t="s">
        <v>35</v>
      </c>
      <c r="C20" s="46">
        <v>8044</v>
      </c>
      <c r="D20" s="355">
        <v>-1574</v>
      </c>
      <c r="E20" s="334">
        <v>-1380</v>
      </c>
      <c r="F20" s="413">
        <f>-1280+60</f>
        <v>-1220</v>
      </c>
      <c r="G20" s="409">
        <f>-1175+55</f>
        <v>-1120</v>
      </c>
      <c r="H20" s="409">
        <f>-1175+155</f>
        <v>-1020</v>
      </c>
      <c r="I20" s="409">
        <f>-1175+250</f>
        <v>-925</v>
      </c>
      <c r="J20" s="200"/>
    </row>
    <row r="21" spans="2:11" ht="15.75" x14ac:dyDescent="0.25">
      <c r="B21" s="45" t="s">
        <v>36</v>
      </c>
      <c r="C21" s="46">
        <v>8099</v>
      </c>
      <c r="D21" s="355">
        <v>-17700</v>
      </c>
      <c r="E21" s="129">
        <v>-18000</v>
      </c>
      <c r="F21" s="413">
        <f>-19000+900-900</f>
        <v>-19000</v>
      </c>
      <c r="G21" s="409">
        <f>-19500-900</f>
        <v>-20400</v>
      </c>
      <c r="H21" s="409">
        <f>-19500-600-900</f>
        <v>-21000</v>
      </c>
      <c r="I21" s="409">
        <f>-19500-2200-900</f>
        <v>-22600</v>
      </c>
      <c r="J21" s="200"/>
    </row>
    <row r="22" spans="2:11" ht="15.75" x14ac:dyDescent="0.25">
      <c r="B22" s="49" t="s">
        <v>37</v>
      </c>
      <c r="C22" s="50"/>
      <c r="D22" s="51">
        <f t="shared" ref="D22:I22" si="2">SUM(D8:D21)</f>
        <v>-883608</v>
      </c>
      <c r="E22" s="169">
        <f t="shared" si="2"/>
        <v>-903885</v>
      </c>
      <c r="F22" s="52">
        <f t="shared" si="2"/>
        <v>-941635</v>
      </c>
      <c r="G22" s="53">
        <f t="shared" si="2"/>
        <v>-953025</v>
      </c>
      <c r="H22" s="53">
        <f t="shared" si="2"/>
        <v>-953675</v>
      </c>
      <c r="I22" s="204">
        <f t="shared" si="2"/>
        <v>-956135</v>
      </c>
      <c r="J22" s="200"/>
      <c r="K22" s="3"/>
    </row>
    <row r="23" spans="2:11" ht="15.75" x14ac:dyDescent="0.25">
      <c r="B23" s="54"/>
      <c r="C23" s="55"/>
      <c r="D23" s="38"/>
      <c r="E23" s="170"/>
      <c r="F23" s="59"/>
      <c r="G23" s="56"/>
      <c r="H23" s="57"/>
      <c r="I23" s="57"/>
      <c r="J23" s="200"/>
    </row>
    <row r="24" spans="2:11" ht="15.75" x14ac:dyDescent="0.25">
      <c r="B24" s="58" t="s">
        <v>38</v>
      </c>
      <c r="C24" s="46"/>
      <c r="D24" s="47"/>
      <c r="E24" s="171"/>
      <c r="F24" s="59"/>
      <c r="G24" s="48"/>
      <c r="H24" s="48"/>
      <c r="I24" s="48"/>
      <c r="J24" s="200"/>
    </row>
    <row r="25" spans="2:11" ht="15.75" x14ac:dyDescent="0.25">
      <c r="B25" s="41" t="s">
        <v>175</v>
      </c>
      <c r="C25" s="42">
        <v>9000</v>
      </c>
      <c r="D25" s="62">
        <v>14601</v>
      </c>
      <c r="E25" s="334">
        <v>21150</v>
      </c>
      <c r="F25" s="59">
        <f>24500-2700</f>
        <v>21800</v>
      </c>
      <c r="G25" s="425">
        <f>26600-2700</f>
        <v>23900</v>
      </c>
      <c r="H25" s="426">
        <f>27600-2700+400</f>
        <v>25300</v>
      </c>
      <c r="I25" s="426">
        <f>27600-2700+3000</f>
        <v>27900</v>
      </c>
      <c r="J25" s="200"/>
    </row>
    <row r="26" spans="2:11" ht="15.75" x14ac:dyDescent="0.25">
      <c r="B26" s="41" t="s">
        <v>176</v>
      </c>
      <c r="C26" s="42">
        <v>9010</v>
      </c>
      <c r="D26" s="62">
        <v>30333</v>
      </c>
      <c r="E26" s="334">
        <v>34100</v>
      </c>
      <c r="F26" s="59">
        <f>35200+2700</f>
        <v>37900</v>
      </c>
      <c r="G26" s="425">
        <f>38000+2700+1600</f>
        <v>42300</v>
      </c>
      <c r="H26" s="426">
        <f>41500+2700+2200</f>
        <v>46400</v>
      </c>
      <c r="I26" s="426">
        <f>41500+2700+7350</f>
        <v>51550</v>
      </c>
      <c r="J26" s="200"/>
    </row>
    <row r="27" spans="2:11" ht="15.75" x14ac:dyDescent="0.25">
      <c r="B27" s="41" t="s">
        <v>39</v>
      </c>
      <c r="C27" s="42">
        <v>9005</v>
      </c>
      <c r="D27" s="62">
        <v>-1220</v>
      </c>
      <c r="E27" s="334">
        <v>-1220</v>
      </c>
      <c r="F27" s="59">
        <v>-1220</v>
      </c>
      <c r="G27" s="401">
        <v>-1220</v>
      </c>
      <c r="H27" s="40">
        <v>-1220</v>
      </c>
      <c r="I27" s="40">
        <v>-1220</v>
      </c>
      <c r="J27" s="200"/>
    </row>
    <row r="28" spans="2:11" ht="15.75" x14ac:dyDescent="0.25">
      <c r="B28" s="41" t="s">
        <v>163</v>
      </c>
      <c r="C28" s="42">
        <v>9020</v>
      </c>
      <c r="D28" s="62">
        <v>117</v>
      </c>
      <c r="E28" s="334">
        <v>50</v>
      </c>
      <c r="F28" s="59">
        <v>50</v>
      </c>
      <c r="G28" s="401">
        <v>50</v>
      </c>
      <c r="H28" s="40">
        <v>50</v>
      </c>
      <c r="I28" s="40">
        <v>50</v>
      </c>
      <c r="J28" s="200"/>
    </row>
    <row r="29" spans="2:11" ht="15.75" x14ac:dyDescent="0.25">
      <c r="B29" s="41" t="s">
        <v>40</v>
      </c>
      <c r="C29" s="42">
        <v>9000</v>
      </c>
      <c r="D29" s="62"/>
      <c r="E29" s="334">
        <v>-650</v>
      </c>
      <c r="F29" s="59">
        <v>-650</v>
      </c>
      <c r="G29" s="401">
        <v>-650</v>
      </c>
      <c r="H29" s="40">
        <v>-650</v>
      </c>
      <c r="I29" s="40">
        <v>-650</v>
      </c>
      <c r="J29" s="200"/>
    </row>
    <row r="30" spans="2:11" ht="15.75" x14ac:dyDescent="0.25">
      <c r="B30" s="41" t="s">
        <v>158</v>
      </c>
      <c r="C30" s="42">
        <v>9000</v>
      </c>
      <c r="D30" s="62"/>
      <c r="E30" s="334">
        <v>-20</v>
      </c>
      <c r="F30" s="59">
        <v>-20</v>
      </c>
      <c r="G30" s="401">
        <v>-20</v>
      </c>
      <c r="H30" s="40">
        <v>-20</v>
      </c>
      <c r="I30" s="40">
        <v>-20</v>
      </c>
      <c r="J30" s="200"/>
    </row>
    <row r="31" spans="2:11" ht="15.75" x14ac:dyDescent="0.25">
      <c r="B31" s="41" t="s">
        <v>41</v>
      </c>
      <c r="C31" s="42">
        <v>9000</v>
      </c>
      <c r="D31" s="62"/>
      <c r="E31" s="334">
        <v>-50</v>
      </c>
      <c r="F31" s="59">
        <v>-50</v>
      </c>
      <c r="G31" s="401">
        <v>-50</v>
      </c>
      <c r="H31" s="40">
        <v>-50</v>
      </c>
      <c r="I31" s="40">
        <v>-50</v>
      </c>
      <c r="J31" s="200"/>
    </row>
    <row r="32" spans="2:11" ht="15.75" x14ac:dyDescent="0.25">
      <c r="B32" s="41" t="s">
        <v>42</v>
      </c>
      <c r="C32" s="42">
        <v>9000</v>
      </c>
      <c r="D32" s="62"/>
      <c r="E32" s="334">
        <v>-4000</v>
      </c>
      <c r="F32" s="59">
        <v>-4000</v>
      </c>
      <c r="G32" s="401">
        <v>-4000</v>
      </c>
      <c r="H32" s="40">
        <v>-4000</v>
      </c>
      <c r="I32" s="40">
        <v>-4000</v>
      </c>
      <c r="J32" s="200"/>
    </row>
    <row r="33" spans="2:10" ht="15.75" x14ac:dyDescent="0.25">
      <c r="B33" s="41" t="s">
        <v>43</v>
      </c>
      <c r="C33" s="42">
        <v>9008</v>
      </c>
      <c r="D33" s="62">
        <v>-479</v>
      </c>
      <c r="E33" s="334">
        <v>-400</v>
      </c>
      <c r="F33" s="59">
        <v>-400</v>
      </c>
      <c r="G33" s="401">
        <v>-400</v>
      </c>
      <c r="H33" s="40">
        <v>-400</v>
      </c>
      <c r="I33" s="40">
        <v>-400</v>
      </c>
      <c r="J33" s="200"/>
    </row>
    <row r="34" spans="2:10" ht="15.75" x14ac:dyDescent="0.25">
      <c r="B34" s="41" t="s">
        <v>214</v>
      </c>
      <c r="C34" s="42">
        <v>9009</v>
      </c>
      <c r="D34" s="62">
        <v>-5569</v>
      </c>
      <c r="E34" s="334">
        <v>-5815</v>
      </c>
      <c r="F34" s="422">
        <f>-9000+3000-1000</f>
        <v>-7000</v>
      </c>
      <c r="G34" s="423">
        <f>+F34</f>
        <v>-7000</v>
      </c>
      <c r="H34" s="409">
        <f>+G34</f>
        <v>-7000</v>
      </c>
      <c r="I34" s="409">
        <f>+H34</f>
        <v>-7000</v>
      </c>
      <c r="J34" s="200"/>
    </row>
    <row r="35" spans="2:10" ht="15.75" x14ac:dyDescent="0.25">
      <c r="B35" s="41" t="s">
        <v>44</v>
      </c>
      <c r="C35" s="42">
        <v>9009</v>
      </c>
      <c r="D35" s="62">
        <v>-11273</v>
      </c>
      <c r="E35" s="334">
        <v>-12750</v>
      </c>
      <c r="F35" s="422">
        <f>-12000-750</f>
        <v>-12750</v>
      </c>
      <c r="G35" s="423">
        <f>-12000-750</f>
        <v>-12750</v>
      </c>
      <c r="H35" s="432">
        <f>-12000-750-2000</f>
        <v>-14750</v>
      </c>
      <c r="I35" s="432">
        <f>-12000-750-2000</f>
        <v>-14750</v>
      </c>
      <c r="J35" s="200"/>
    </row>
    <row r="36" spans="2:10" ht="15.75" x14ac:dyDescent="0.25">
      <c r="B36" s="41" t="s">
        <v>45</v>
      </c>
      <c r="C36" s="42">
        <v>9000</v>
      </c>
      <c r="D36" s="62"/>
      <c r="E36" s="334">
        <v>-2550</v>
      </c>
      <c r="F36" s="422">
        <f>-2450+200</f>
        <v>-2250</v>
      </c>
      <c r="G36" s="423">
        <f>-2350+200</f>
        <v>-2150</v>
      </c>
      <c r="H36" s="409">
        <f>-2250+200</f>
        <v>-2050</v>
      </c>
      <c r="I36" s="409">
        <f>-2250+200</f>
        <v>-2050</v>
      </c>
      <c r="J36" s="200"/>
    </row>
    <row r="37" spans="2:10" ht="15.75" x14ac:dyDescent="0.25">
      <c r="B37" s="60" t="s">
        <v>46</v>
      </c>
      <c r="C37" s="61">
        <v>9080</v>
      </c>
      <c r="D37" s="62"/>
      <c r="E37" s="338">
        <v>-1000</v>
      </c>
      <c r="F37" s="59">
        <v>-1000</v>
      </c>
      <c r="G37" s="48">
        <v>-1000</v>
      </c>
      <c r="H37" s="48">
        <v>-1000</v>
      </c>
      <c r="I37" s="48">
        <v>-1000</v>
      </c>
      <c r="J37" s="200"/>
    </row>
    <row r="38" spans="2:10" ht="15.75" x14ac:dyDescent="0.25">
      <c r="B38" s="49" t="s">
        <v>47</v>
      </c>
      <c r="C38" s="50"/>
      <c r="D38" s="172">
        <f t="shared" ref="D38:I38" si="3">SUM(D25:D37)</f>
        <v>26510</v>
      </c>
      <c r="E38" s="172">
        <f t="shared" si="3"/>
        <v>26845</v>
      </c>
      <c r="F38" s="63">
        <f t="shared" si="3"/>
        <v>30410</v>
      </c>
      <c r="G38" s="64">
        <f t="shared" si="3"/>
        <v>37010</v>
      </c>
      <c r="H38" s="64">
        <f t="shared" si="3"/>
        <v>40610</v>
      </c>
      <c r="I38" s="201">
        <f t="shared" si="3"/>
        <v>48360</v>
      </c>
      <c r="J38" s="200"/>
    </row>
    <row r="39" spans="2:10" ht="15.75" x14ac:dyDescent="0.25">
      <c r="B39" s="54"/>
      <c r="C39" s="55"/>
      <c r="D39" s="38"/>
      <c r="E39" s="129"/>
      <c r="F39" s="67"/>
      <c r="G39" s="65"/>
      <c r="H39" s="65"/>
      <c r="I39" s="202"/>
      <c r="J39" s="200"/>
    </row>
    <row r="40" spans="2:10" ht="15.75" x14ac:dyDescent="0.25">
      <c r="B40" s="66" t="s">
        <v>48</v>
      </c>
      <c r="C40" s="55"/>
      <c r="D40" s="38"/>
      <c r="E40" s="129"/>
      <c r="F40" s="67"/>
      <c r="G40" s="68"/>
      <c r="H40" s="65"/>
      <c r="I40" s="65"/>
      <c r="J40" s="200"/>
    </row>
    <row r="41" spans="2:10" ht="15.75" x14ac:dyDescent="0.25">
      <c r="B41" s="69" t="s">
        <v>230</v>
      </c>
      <c r="C41" s="42">
        <v>9000</v>
      </c>
      <c r="D41" s="62"/>
      <c r="E41" s="129">
        <v>650</v>
      </c>
      <c r="F41" s="402">
        <v>650</v>
      </c>
      <c r="G41" s="71">
        <v>650</v>
      </c>
      <c r="H41" s="71">
        <v>650</v>
      </c>
      <c r="I41" s="71">
        <v>650</v>
      </c>
      <c r="J41" s="200"/>
    </row>
    <row r="42" spans="2:10" ht="15.75" x14ac:dyDescent="0.25">
      <c r="B42" s="69" t="s">
        <v>229</v>
      </c>
      <c r="C42" s="42">
        <v>9000</v>
      </c>
      <c r="D42" s="62">
        <v>-1037</v>
      </c>
      <c r="E42" s="129"/>
      <c r="F42" s="67"/>
      <c r="G42" s="71"/>
      <c r="H42" s="71"/>
      <c r="I42" s="71"/>
      <c r="J42" s="200"/>
    </row>
    <row r="43" spans="2:10" ht="15.75" x14ac:dyDescent="0.25">
      <c r="B43" s="114" t="s">
        <v>193</v>
      </c>
      <c r="C43" s="61">
        <v>9040</v>
      </c>
      <c r="D43" s="62"/>
      <c r="E43" s="129"/>
      <c r="F43" s="67"/>
      <c r="G43" s="71"/>
      <c r="H43" s="71"/>
      <c r="I43" s="71"/>
      <c r="J43" s="200"/>
    </row>
    <row r="44" spans="2:10" ht="15.75" x14ac:dyDescent="0.25">
      <c r="B44" s="69" t="s">
        <v>199</v>
      </c>
      <c r="C44" s="42">
        <v>9040</v>
      </c>
      <c r="D44" s="62"/>
      <c r="E44" s="129">
        <v>0</v>
      </c>
      <c r="F44" s="67"/>
      <c r="G44" s="121"/>
      <c r="H44" s="121"/>
      <c r="I44" s="121"/>
      <c r="J44" s="200"/>
    </row>
    <row r="45" spans="2:10" ht="15.75" x14ac:dyDescent="0.25">
      <c r="B45" s="69" t="s">
        <v>240</v>
      </c>
      <c r="C45" s="42">
        <v>9040</v>
      </c>
      <c r="D45" s="62">
        <v>-10025</v>
      </c>
      <c r="E45" s="129">
        <v>-2236</v>
      </c>
      <c r="F45" s="442">
        <v>-2500</v>
      </c>
      <c r="G45" s="431">
        <v>-1575</v>
      </c>
      <c r="H45" s="435">
        <v>1300</v>
      </c>
      <c r="I45" s="435">
        <v>-3330</v>
      </c>
      <c r="J45" s="200"/>
    </row>
    <row r="46" spans="2:10" ht="15.75" x14ac:dyDescent="0.25">
      <c r="B46" s="69" t="s">
        <v>209</v>
      </c>
      <c r="C46" s="42">
        <v>9040</v>
      </c>
      <c r="D46" s="62"/>
      <c r="E46" s="129"/>
      <c r="F46" s="67"/>
      <c r="G46" s="121"/>
      <c r="H46" s="121"/>
      <c r="I46" s="121"/>
      <c r="J46" s="200"/>
    </row>
    <row r="47" spans="2:10" ht="15.75" x14ac:dyDescent="0.25">
      <c r="B47" s="69" t="s">
        <v>10</v>
      </c>
      <c r="C47" s="42">
        <v>9040</v>
      </c>
      <c r="D47" s="62"/>
      <c r="E47" s="129">
        <v>-570</v>
      </c>
      <c r="F47" s="67"/>
      <c r="G47" s="121"/>
      <c r="H47" s="121"/>
      <c r="I47" s="121"/>
      <c r="J47" s="200"/>
    </row>
    <row r="48" spans="2:10" ht="15.75" x14ac:dyDescent="0.25">
      <c r="B48" s="69" t="s">
        <v>241</v>
      </c>
      <c r="C48" s="42">
        <v>9040</v>
      </c>
      <c r="D48" s="62"/>
      <c r="E48" s="129"/>
      <c r="F48" s="67"/>
      <c r="G48" s="121"/>
      <c r="H48" s="121"/>
      <c r="I48" s="121"/>
      <c r="J48" s="200"/>
    </row>
    <row r="49" spans="2:12" ht="15.75" x14ac:dyDescent="0.25">
      <c r="B49" s="69" t="s">
        <v>13</v>
      </c>
      <c r="C49" s="42">
        <v>9040</v>
      </c>
      <c r="D49" s="62"/>
      <c r="E49" s="129"/>
      <c r="F49" s="67"/>
      <c r="G49" s="121"/>
      <c r="H49" s="121"/>
      <c r="I49" s="121"/>
      <c r="J49" s="200"/>
    </row>
    <row r="50" spans="2:12" ht="15.75" x14ac:dyDescent="0.25">
      <c r="B50" s="69" t="s">
        <v>238</v>
      </c>
      <c r="C50" s="42">
        <v>9040</v>
      </c>
      <c r="D50" s="62"/>
      <c r="E50" s="294">
        <v>0</v>
      </c>
      <c r="F50" s="59">
        <v>0</v>
      </c>
      <c r="G50" s="48">
        <v>0</v>
      </c>
      <c r="H50" s="48">
        <v>0</v>
      </c>
      <c r="I50" s="48">
        <v>0</v>
      </c>
      <c r="J50" s="200"/>
    </row>
    <row r="51" spans="2:12" ht="15.75" x14ac:dyDescent="0.25">
      <c r="B51" s="74" t="s">
        <v>49</v>
      </c>
      <c r="C51" s="50"/>
      <c r="D51" s="173">
        <f>SUM(D41:D50)</f>
        <v>-11062</v>
      </c>
      <c r="E51" s="173">
        <f t="shared" ref="E51:I51" si="4">SUM(E41:E50)</f>
        <v>-2156</v>
      </c>
      <c r="F51" s="75">
        <f t="shared" si="4"/>
        <v>-1850</v>
      </c>
      <c r="G51" s="76">
        <f t="shared" si="4"/>
        <v>-925</v>
      </c>
      <c r="H51" s="76">
        <f t="shared" si="4"/>
        <v>1950</v>
      </c>
      <c r="I51" s="77">
        <f t="shared" si="4"/>
        <v>-2680</v>
      </c>
      <c r="J51" s="200"/>
    </row>
    <row r="52" spans="2:12" ht="15.75" x14ac:dyDescent="0.25">
      <c r="B52" s="78"/>
      <c r="C52" s="55"/>
      <c r="D52" s="38"/>
      <c r="E52" s="129"/>
      <c r="F52" s="67"/>
      <c r="G52" s="68"/>
      <c r="H52" s="65"/>
      <c r="I52" s="65"/>
      <c r="J52" s="200"/>
    </row>
    <row r="53" spans="2:12" ht="15.75" x14ac:dyDescent="0.25">
      <c r="B53" s="81" t="s">
        <v>50</v>
      </c>
      <c r="C53" s="42"/>
      <c r="D53" s="43"/>
      <c r="E53" s="62"/>
      <c r="F53" s="80"/>
      <c r="G53" s="79"/>
      <c r="H53" s="71"/>
      <c r="I53" s="71"/>
      <c r="J53" s="200"/>
    </row>
    <row r="54" spans="2:12" ht="15.75" x14ac:dyDescent="0.25">
      <c r="B54" s="69" t="s">
        <v>51</v>
      </c>
      <c r="C54" s="42"/>
      <c r="D54" s="82">
        <v>58507</v>
      </c>
      <c r="E54" s="342">
        <f>+D_Sentr_!C62</f>
        <v>53790</v>
      </c>
      <c r="F54" s="343">
        <f>+D_Sentr_!D62</f>
        <v>55342</v>
      </c>
      <c r="G54" s="344">
        <f>+D_Sentr_!E62</f>
        <v>57012</v>
      </c>
      <c r="H54" s="344">
        <f>+D_Sentr_!F62</f>
        <v>54712</v>
      </c>
      <c r="I54" s="345">
        <f>+D_Sentr_!G62</f>
        <v>55512</v>
      </c>
      <c r="J54" s="200"/>
    </row>
    <row r="55" spans="2:12" ht="15.75" x14ac:dyDescent="0.25">
      <c r="B55" s="69" t="s">
        <v>101</v>
      </c>
      <c r="C55" s="42"/>
      <c r="D55" s="82">
        <v>-14974</v>
      </c>
      <c r="E55" s="342">
        <f>+'D_Kap 7'!C58</f>
        <v>5257</v>
      </c>
      <c r="F55" s="343">
        <f>+'D_Kap 7'!D58</f>
        <v>18217</v>
      </c>
      <c r="G55" s="344">
        <f>+'D_Kap 7'!E58</f>
        <v>22217</v>
      </c>
      <c r="H55" s="344">
        <f>+'D_Kap 7'!F58</f>
        <v>22217</v>
      </c>
      <c r="I55" s="345">
        <f>+'D_Kap 7'!G58</f>
        <v>22217</v>
      </c>
      <c r="J55" s="200"/>
      <c r="L55" s="3"/>
    </row>
    <row r="56" spans="2:12" ht="15.75" x14ac:dyDescent="0.25">
      <c r="B56" s="41" t="s">
        <v>52</v>
      </c>
      <c r="C56" s="42"/>
      <c r="D56" s="82"/>
      <c r="E56" s="342">
        <f>+D_Kirken!C58</f>
        <v>4988</v>
      </c>
      <c r="F56" s="354">
        <f>+D_Kirken!D58</f>
        <v>4968</v>
      </c>
      <c r="G56" s="346">
        <f>+D_Kirken!E58</f>
        <v>4968</v>
      </c>
      <c r="H56" s="346">
        <f>+D_Kirken!F58</f>
        <v>4968</v>
      </c>
      <c r="I56" s="346">
        <f>+D_Kirken!G58</f>
        <v>4968</v>
      </c>
      <c r="J56" s="200"/>
    </row>
    <row r="57" spans="2:12" ht="15.75" x14ac:dyDescent="0.25">
      <c r="B57" s="41" t="s">
        <v>215</v>
      </c>
      <c r="C57" s="42"/>
      <c r="D57" s="82">
        <v>362691</v>
      </c>
      <c r="E57" s="342">
        <f>+'D_Ku-Oppv'!C64</f>
        <v>370595</v>
      </c>
      <c r="F57" s="354">
        <f>+'D_Ku-Oppv'!D64</f>
        <v>373102</v>
      </c>
      <c r="G57" s="346">
        <f>+'D_Ku-Oppv'!E64</f>
        <v>373427</v>
      </c>
      <c r="H57" s="346">
        <f>+'D_Ku-Oppv'!F64</f>
        <v>372427</v>
      </c>
      <c r="I57" s="346">
        <f>+'D_Ku-Oppv'!G64</f>
        <v>372387</v>
      </c>
      <c r="J57" s="200"/>
    </row>
    <row r="58" spans="2:12" ht="15.75" x14ac:dyDescent="0.25">
      <c r="B58" s="69" t="s">
        <v>213</v>
      </c>
      <c r="C58" s="42"/>
      <c r="D58" s="82">
        <v>382414</v>
      </c>
      <c r="E58" s="332">
        <f>+D_H_O!C59</f>
        <v>368857</v>
      </c>
      <c r="F58" s="343">
        <f>+D_H_O!D59</f>
        <v>384886</v>
      </c>
      <c r="G58" s="346">
        <f>+D_H_O!E59</f>
        <v>383151</v>
      </c>
      <c r="H58" s="346">
        <f>+D_H_O!F59</f>
        <v>381146</v>
      </c>
      <c r="I58" s="346">
        <f>+D_H_O!G59</f>
        <v>379766</v>
      </c>
      <c r="J58" s="200"/>
    </row>
    <row r="59" spans="2:12" ht="15.75" x14ac:dyDescent="0.25">
      <c r="B59" s="69" t="s">
        <v>216</v>
      </c>
      <c r="C59" s="42"/>
      <c r="D59" s="82"/>
      <c r="E59" s="332"/>
      <c r="F59" s="343"/>
      <c r="G59" s="346"/>
      <c r="H59" s="346"/>
      <c r="I59" s="346"/>
      <c r="J59" s="200"/>
    </row>
    <row r="60" spans="2:12" ht="15.75" x14ac:dyDescent="0.25">
      <c r="B60" s="72" t="s">
        <v>211</v>
      </c>
      <c r="C60" s="46"/>
      <c r="D60" s="84">
        <v>79511</v>
      </c>
      <c r="E60" s="347">
        <f>+D_Teknisk!C60</f>
        <v>75709</v>
      </c>
      <c r="F60" s="348">
        <f>+D_Teknisk!D60</f>
        <v>76470</v>
      </c>
      <c r="G60" s="349">
        <f>+D_Teknisk!E60</f>
        <v>76165</v>
      </c>
      <c r="H60" s="349">
        <f>+D_Teknisk!F60</f>
        <v>75610</v>
      </c>
      <c r="I60" s="349">
        <f>+D_Teknisk!G60</f>
        <v>75605</v>
      </c>
      <c r="J60" s="200"/>
    </row>
    <row r="61" spans="2:12" ht="15.75" x14ac:dyDescent="0.25">
      <c r="B61" s="74" t="s">
        <v>114</v>
      </c>
      <c r="C61" s="50"/>
      <c r="D61" s="51">
        <f>SUM(D54:D60)</f>
        <v>868149</v>
      </c>
      <c r="E61" s="350">
        <f t="shared" ref="E61:I61" si="5">SUM(E54:E60)</f>
        <v>879196</v>
      </c>
      <c r="F61" s="351">
        <f t="shared" si="5"/>
        <v>912985</v>
      </c>
      <c r="G61" s="352">
        <f t="shared" si="5"/>
        <v>916940</v>
      </c>
      <c r="H61" s="352">
        <f t="shared" si="5"/>
        <v>911080</v>
      </c>
      <c r="I61" s="353">
        <f t="shared" si="5"/>
        <v>910455</v>
      </c>
      <c r="J61" s="200"/>
    </row>
    <row r="62" spans="2:12" ht="16.5" thickBot="1" x14ac:dyDescent="0.3">
      <c r="B62" s="160"/>
      <c r="C62" s="195"/>
      <c r="D62" s="313"/>
      <c r="E62" s="161"/>
      <c r="F62" s="309"/>
      <c r="G62" s="163"/>
      <c r="H62" s="163"/>
      <c r="I62" s="164"/>
      <c r="J62" s="200"/>
    </row>
    <row r="63" spans="2:12" ht="16.5" thickBot="1" x14ac:dyDescent="0.3">
      <c r="B63" s="89" t="s">
        <v>53</v>
      </c>
      <c r="C63" s="90"/>
      <c r="D63" s="92">
        <f>+D22+D38+D51+D61</f>
        <v>-11</v>
      </c>
      <c r="E63" s="92">
        <f t="shared" ref="E63:I63" si="6">+E22+E38+E51+E61</f>
        <v>0</v>
      </c>
      <c r="F63" s="335">
        <f t="shared" si="6"/>
        <v>-90</v>
      </c>
      <c r="G63" s="336">
        <f t="shared" si="6"/>
        <v>0</v>
      </c>
      <c r="H63" s="335">
        <f t="shared" si="6"/>
        <v>-35</v>
      </c>
      <c r="I63" s="335">
        <f t="shared" si="6"/>
        <v>0</v>
      </c>
    </row>
    <row r="64" spans="2:12" x14ac:dyDescent="0.2">
      <c r="I64" s="356"/>
    </row>
    <row r="65" spans="2:4" x14ac:dyDescent="0.2">
      <c r="B65" s="94" t="s">
        <v>353</v>
      </c>
      <c r="C65" s="95">
        <f>+F63+G63+H63+I63</f>
        <v>-125</v>
      </c>
      <c r="D65" s="175"/>
    </row>
    <row r="66" spans="2:4" x14ac:dyDescent="0.2">
      <c r="D66" s="1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2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25" zoomScalePageLayoutView="125" workbookViewId="0">
      <pane ySplit="6" topLeftCell="A34" activePane="bottomLeft" state="frozen"/>
      <selection pane="bottomLeft" activeCell="A43" sqref="A43:A44"/>
    </sheetView>
  </sheetViews>
  <sheetFormatPr baseColWidth="10" defaultColWidth="9.85546875" defaultRowHeight="12.75" x14ac:dyDescent="0.2"/>
  <cols>
    <col min="1" max="1" width="38.7109375" style="176" customWidth="1"/>
    <col min="2" max="2" width="11.28515625" style="177" customWidth="1"/>
    <col min="3" max="3" width="13" style="178" customWidth="1"/>
    <col min="4" max="7" width="11.7109375" style="178" customWidth="1"/>
    <col min="8" max="16384" width="9.85546875" style="176"/>
  </cols>
  <sheetData>
    <row r="1" spans="1:7" ht="15.75" x14ac:dyDescent="0.25">
      <c r="G1" s="179"/>
    </row>
    <row r="2" spans="1:7" ht="26.25" thickBot="1" x14ac:dyDescent="0.4">
      <c r="A2" s="97" t="s">
        <v>51</v>
      </c>
      <c r="B2" s="180"/>
      <c r="C2" s="181"/>
      <c r="D2" s="181"/>
      <c r="E2" s="181"/>
      <c r="F2" s="8"/>
      <c r="G2" s="9" t="s">
        <v>19</v>
      </c>
    </row>
    <row r="3" spans="1:7" ht="19.5" thickTop="1" x14ac:dyDescent="0.3">
      <c r="A3" s="182"/>
      <c r="B3" s="183"/>
      <c r="C3" s="184"/>
      <c r="D3" s="184"/>
      <c r="E3" s="184"/>
      <c r="F3" s="184"/>
      <c r="G3" s="184"/>
    </row>
    <row r="4" spans="1:7" ht="22.5" x14ac:dyDescent="0.3">
      <c r="A4" s="185"/>
      <c r="B4" s="186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187"/>
      <c r="B5" s="188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189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359">
        <v>51303</v>
      </c>
      <c r="D7" s="107">
        <f>+C62</f>
        <v>53790</v>
      </c>
      <c r="E7" s="108">
        <f>+D7</f>
        <v>53790</v>
      </c>
      <c r="F7" s="109">
        <f>+D7</f>
        <v>53790</v>
      </c>
      <c r="G7" s="109">
        <f>+D7</f>
        <v>53790</v>
      </c>
    </row>
    <row r="8" spans="1:7" ht="15.75" x14ac:dyDescent="0.25">
      <c r="A8" s="78" t="s">
        <v>354</v>
      </c>
      <c r="B8" s="105"/>
      <c r="C8" s="110">
        <v>-1488</v>
      </c>
      <c r="D8" s="111">
        <f>-C47</f>
        <v>-900</v>
      </c>
      <c r="E8" s="65">
        <f>-C47</f>
        <v>-900</v>
      </c>
      <c r="F8" s="40">
        <f>-C47</f>
        <v>-900</v>
      </c>
      <c r="G8" s="40">
        <f>-C47</f>
        <v>-900</v>
      </c>
    </row>
    <row r="9" spans="1:7" ht="15.75" x14ac:dyDescent="0.25">
      <c r="A9" s="78"/>
      <c r="B9" s="105"/>
      <c r="C9" s="110"/>
      <c r="D9" s="111"/>
      <c r="E9" s="65"/>
      <c r="F9" s="40"/>
      <c r="G9" s="40"/>
    </row>
    <row r="10" spans="1:7" ht="15.75" x14ac:dyDescent="0.25">
      <c r="A10" s="36" t="s">
        <v>57</v>
      </c>
      <c r="B10" s="105"/>
      <c r="C10" s="110"/>
      <c r="D10" s="111"/>
      <c r="E10" s="112"/>
      <c r="F10" s="109"/>
      <c r="G10" s="109"/>
    </row>
    <row r="11" spans="1:7" ht="15.75" x14ac:dyDescent="0.25">
      <c r="A11" s="69" t="s">
        <v>159</v>
      </c>
      <c r="B11" s="42" t="s">
        <v>109</v>
      </c>
      <c r="C11" s="43">
        <v>1610</v>
      </c>
      <c r="D11" s="111">
        <v>42</v>
      </c>
      <c r="E11" s="71">
        <v>42</v>
      </c>
      <c r="F11" s="71">
        <v>42</v>
      </c>
      <c r="G11" s="71">
        <v>42</v>
      </c>
    </row>
    <row r="12" spans="1:7" ht="15.75" x14ac:dyDescent="0.25">
      <c r="A12" s="69" t="s">
        <v>237</v>
      </c>
      <c r="B12" s="42" t="s">
        <v>109</v>
      </c>
      <c r="C12" s="43">
        <v>1065</v>
      </c>
      <c r="D12" s="111"/>
      <c r="E12" s="71"/>
      <c r="F12" s="71"/>
      <c r="G12" s="71"/>
    </row>
    <row r="13" spans="1:7" ht="15.75" x14ac:dyDescent="0.25">
      <c r="A13" s="69" t="s">
        <v>407</v>
      </c>
      <c r="B13" s="42">
        <v>1015</v>
      </c>
      <c r="C13" s="43"/>
      <c r="D13" s="420">
        <v>370</v>
      </c>
      <c r="E13" s="408">
        <v>370</v>
      </c>
      <c r="F13" s="408">
        <v>370</v>
      </c>
      <c r="G13" s="408">
        <v>370</v>
      </c>
    </row>
    <row r="14" spans="1:7" ht="15.75" x14ac:dyDescent="0.25">
      <c r="A14" s="69" t="s">
        <v>439</v>
      </c>
      <c r="B14" s="42" t="s">
        <v>109</v>
      </c>
      <c r="C14" s="43"/>
      <c r="D14" s="420">
        <v>400</v>
      </c>
      <c r="E14" s="408">
        <v>400</v>
      </c>
      <c r="F14" s="408">
        <v>400</v>
      </c>
      <c r="G14" s="408">
        <v>400</v>
      </c>
    </row>
    <row r="15" spans="1:7" ht="15.75" x14ac:dyDescent="0.25">
      <c r="A15" s="69" t="s">
        <v>417</v>
      </c>
      <c r="B15" s="42">
        <v>1200</v>
      </c>
      <c r="C15" s="43"/>
      <c r="D15" s="420">
        <v>10</v>
      </c>
      <c r="E15" s="408">
        <v>130</v>
      </c>
      <c r="F15" s="408">
        <v>130</v>
      </c>
      <c r="G15" s="408">
        <v>130</v>
      </c>
    </row>
    <row r="16" spans="1:7" ht="15.75" x14ac:dyDescent="0.25">
      <c r="A16" s="69" t="s">
        <v>422</v>
      </c>
      <c r="B16" s="42"/>
      <c r="C16" s="43"/>
      <c r="D16" s="420">
        <v>-100</v>
      </c>
      <c r="E16" s="408">
        <v>-200</v>
      </c>
      <c r="F16" s="408">
        <v>-200</v>
      </c>
      <c r="G16" s="408">
        <v>-200</v>
      </c>
    </row>
    <row r="17" spans="1:7" ht="15.75" x14ac:dyDescent="0.25">
      <c r="A17" s="69" t="s">
        <v>247</v>
      </c>
      <c r="B17" s="42" t="s">
        <v>109</v>
      </c>
      <c r="C17" s="43">
        <v>400</v>
      </c>
      <c r="D17" s="111"/>
      <c r="E17" s="71"/>
      <c r="F17" s="71"/>
      <c r="G17" s="71"/>
    </row>
    <row r="18" spans="1:7" ht="15.75" x14ac:dyDescent="0.25">
      <c r="A18" s="69" t="s">
        <v>248</v>
      </c>
      <c r="B18" s="42"/>
      <c r="C18" s="43">
        <v>300</v>
      </c>
      <c r="D18" s="420">
        <v>30</v>
      </c>
      <c r="E18" s="408">
        <v>30</v>
      </c>
      <c r="F18" s="408">
        <v>30</v>
      </c>
      <c r="G18" s="408">
        <v>30</v>
      </c>
    </row>
    <row r="19" spans="1:7" ht="15.75" x14ac:dyDescent="0.25">
      <c r="A19" s="69" t="s">
        <v>251</v>
      </c>
      <c r="B19" s="42">
        <v>1085</v>
      </c>
      <c r="C19" s="43">
        <v>40</v>
      </c>
      <c r="D19" s="111">
        <v>0</v>
      </c>
      <c r="E19" s="71"/>
      <c r="F19" s="71"/>
      <c r="G19" s="71"/>
    </row>
    <row r="20" spans="1:7" ht="15.75" x14ac:dyDescent="0.25">
      <c r="A20" s="69" t="s">
        <v>249</v>
      </c>
      <c r="B20" s="42">
        <v>1231</v>
      </c>
      <c r="C20" s="43">
        <v>855</v>
      </c>
      <c r="D20" s="111"/>
      <c r="E20" s="71"/>
      <c r="F20" s="71"/>
      <c r="G20" s="71"/>
    </row>
    <row r="21" spans="1:7" ht="15.75" x14ac:dyDescent="0.25">
      <c r="A21" s="69" t="s">
        <v>250</v>
      </c>
      <c r="B21" s="42">
        <v>1320</v>
      </c>
      <c r="C21" s="43">
        <v>200</v>
      </c>
      <c r="D21" s="111"/>
      <c r="E21" s="71"/>
      <c r="F21" s="71"/>
      <c r="G21" s="71"/>
    </row>
    <row r="22" spans="1:7" ht="15.75" x14ac:dyDescent="0.25">
      <c r="A22" s="69" t="s">
        <v>171</v>
      </c>
      <c r="B22" s="42">
        <v>1041</v>
      </c>
      <c r="C22" s="43">
        <v>-100</v>
      </c>
      <c r="D22" s="111"/>
      <c r="E22" s="71"/>
      <c r="F22" s="71"/>
      <c r="G22" s="71"/>
    </row>
    <row r="23" spans="1:7" ht="15.75" x14ac:dyDescent="0.25">
      <c r="A23" s="69" t="s">
        <v>208</v>
      </c>
      <c r="B23" s="42" t="s">
        <v>109</v>
      </c>
      <c r="C23" s="43">
        <v>-1300</v>
      </c>
      <c r="D23" s="111"/>
      <c r="E23" s="71"/>
      <c r="F23" s="71"/>
      <c r="G23" s="71"/>
    </row>
    <row r="24" spans="1:7" ht="15.75" x14ac:dyDescent="0.25">
      <c r="A24" s="69" t="s">
        <v>274</v>
      </c>
      <c r="B24" s="42">
        <v>1310</v>
      </c>
      <c r="C24" s="43">
        <v>350</v>
      </c>
      <c r="D24" s="111">
        <v>350</v>
      </c>
      <c r="E24" s="71">
        <v>350</v>
      </c>
      <c r="F24" s="71">
        <v>350</v>
      </c>
      <c r="G24" s="71">
        <v>350</v>
      </c>
    </row>
    <row r="25" spans="1:7" ht="15.75" x14ac:dyDescent="0.25">
      <c r="A25" s="69" t="s">
        <v>243</v>
      </c>
      <c r="B25" s="42">
        <v>1230</v>
      </c>
      <c r="C25" s="43">
        <v>-530</v>
      </c>
      <c r="D25" s="111"/>
      <c r="E25" s="71"/>
      <c r="F25" s="71"/>
      <c r="G25" s="71"/>
    </row>
    <row r="26" spans="1:7" ht="15.75" x14ac:dyDescent="0.25">
      <c r="A26" s="69" t="s">
        <v>327</v>
      </c>
      <c r="B26" s="42">
        <v>1100</v>
      </c>
      <c r="C26" s="43">
        <v>0</v>
      </c>
      <c r="D26" s="111">
        <v>0</v>
      </c>
      <c r="E26" s="71">
        <v>0</v>
      </c>
      <c r="F26" s="71">
        <v>0</v>
      </c>
      <c r="G26" s="71">
        <v>0</v>
      </c>
    </row>
    <row r="27" spans="1:7" ht="15.75" x14ac:dyDescent="0.25">
      <c r="A27" s="69" t="s">
        <v>328</v>
      </c>
      <c r="B27" s="42">
        <v>1091</v>
      </c>
      <c r="C27" s="43">
        <v>-100</v>
      </c>
      <c r="D27" s="436">
        <v>-50</v>
      </c>
      <c r="E27" s="437">
        <f>+D27</f>
        <v>-50</v>
      </c>
      <c r="F27" s="437">
        <f>+E27</f>
        <v>-50</v>
      </c>
      <c r="G27" s="437">
        <f>+F27</f>
        <v>-50</v>
      </c>
    </row>
    <row r="28" spans="1:7" ht="15.75" x14ac:dyDescent="0.25">
      <c r="A28" s="329" t="s">
        <v>330</v>
      </c>
      <c r="B28" s="42">
        <v>1111</v>
      </c>
      <c r="C28" s="43">
        <v>-150</v>
      </c>
      <c r="D28" s="111"/>
      <c r="E28" s="71"/>
      <c r="F28" s="71"/>
      <c r="G28" s="71"/>
    </row>
    <row r="29" spans="1:7" ht="15.75" x14ac:dyDescent="0.25">
      <c r="A29" s="69" t="s">
        <v>277</v>
      </c>
      <c r="B29" s="42">
        <v>1300</v>
      </c>
      <c r="C29" s="43">
        <v>-400</v>
      </c>
      <c r="D29" s="111"/>
      <c r="E29" s="71"/>
      <c r="F29" s="71"/>
      <c r="G29" s="71"/>
    </row>
    <row r="30" spans="1:7" ht="15.75" x14ac:dyDescent="0.25">
      <c r="A30" s="69" t="s">
        <v>431</v>
      </c>
      <c r="B30" s="42">
        <v>1111</v>
      </c>
      <c r="C30" s="43"/>
      <c r="D30" s="420">
        <v>450</v>
      </c>
      <c r="E30" s="71">
        <v>650</v>
      </c>
      <c r="F30" s="71">
        <v>650</v>
      </c>
      <c r="G30" s="71">
        <v>650</v>
      </c>
    </row>
    <row r="31" spans="1:7" ht="15.75" x14ac:dyDescent="0.25">
      <c r="A31" s="69" t="s">
        <v>293</v>
      </c>
      <c r="B31" s="42">
        <v>1310</v>
      </c>
      <c r="C31" s="43">
        <v>550</v>
      </c>
      <c r="D31" s="111"/>
      <c r="E31" s="71"/>
      <c r="F31" s="71"/>
      <c r="G31" s="71"/>
    </row>
    <row r="32" spans="1:7" ht="15.75" x14ac:dyDescent="0.25">
      <c r="A32" s="69" t="s">
        <v>348</v>
      </c>
      <c r="B32" s="42">
        <v>1311</v>
      </c>
      <c r="C32" s="43">
        <v>200</v>
      </c>
      <c r="D32" s="111"/>
      <c r="E32" s="71"/>
      <c r="F32" s="71"/>
      <c r="G32" s="71"/>
    </row>
    <row r="33" spans="1:7" s="199" customFormat="1" ht="15.75" x14ac:dyDescent="0.25">
      <c r="A33" s="78" t="s">
        <v>349</v>
      </c>
      <c r="B33" s="55">
        <v>1200</v>
      </c>
      <c r="C33" s="43">
        <v>85</v>
      </c>
      <c r="D33" s="111"/>
      <c r="E33" s="65"/>
      <c r="F33" s="40"/>
      <c r="G33" s="40"/>
    </row>
    <row r="34" spans="1:7" ht="16.5" thickBot="1" x14ac:dyDescent="0.3">
      <c r="A34" s="128" t="s">
        <v>59</v>
      </c>
      <c r="B34" s="42"/>
      <c r="C34" s="116">
        <f>SUM(C10:C33)</f>
        <v>3075</v>
      </c>
      <c r="D34" s="111"/>
      <c r="E34" s="71"/>
      <c r="F34" s="71"/>
      <c r="G34" s="71"/>
    </row>
    <row r="35" spans="1:7" ht="16.5" thickTop="1" x14ac:dyDescent="0.25">
      <c r="A35" s="128"/>
      <c r="B35" s="42"/>
      <c r="C35" s="161"/>
      <c r="D35" s="111"/>
      <c r="E35" s="71"/>
      <c r="F35" s="71"/>
      <c r="G35" s="71"/>
    </row>
    <row r="36" spans="1:7" ht="15.75" x14ac:dyDescent="0.25">
      <c r="A36" s="128" t="s">
        <v>60</v>
      </c>
      <c r="B36" s="42"/>
      <c r="C36" s="43"/>
      <c r="D36" s="111" t="s">
        <v>162</v>
      </c>
      <c r="E36" s="71"/>
      <c r="F36" s="71"/>
      <c r="G36" s="71"/>
    </row>
    <row r="37" spans="1:7" ht="15.75" x14ac:dyDescent="0.25">
      <c r="A37" s="114" t="s">
        <v>194</v>
      </c>
      <c r="B37" s="42">
        <v>1031</v>
      </c>
      <c r="C37" s="43"/>
      <c r="D37" s="111"/>
      <c r="E37" s="71">
        <v>800</v>
      </c>
      <c r="F37" s="71"/>
      <c r="G37" s="71">
        <v>800</v>
      </c>
    </row>
    <row r="38" spans="1:7" ht="15.75" x14ac:dyDescent="0.25">
      <c r="A38" s="114" t="s">
        <v>413</v>
      </c>
      <c r="B38" s="42" t="s">
        <v>228</v>
      </c>
      <c r="C38" s="43"/>
      <c r="D38" s="430">
        <v>800</v>
      </c>
      <c r="E38" s="431">
        <v>1500</v>
      </c>
      <c r="F38" s="431">
        <v>0</v>
      </c>
      <c r="G38" s="71"/>
    </row>
    <row r="39" spans="1:7" ht="15.75" x14ac:dyDescent="0.25">
      <c r="A39" s="114" t="s">
        <v>414</v>
      </c>
      <c r="B39" s="42">
        <v>1112</v>
      </c>
      <c r="C39" s="43"/>
      <c r="D39" s="436">
        <v>300</v>
      </c>
      <c r="E39" s="431">
        <v>300</v>
      </c>
      <c r="F39" s="408"/>
      <c r="G39" s="71"/>
    </row>
    <row r="40" spans="1:7" ht="15.75" x14ac:dyDescent="0.25">
      <c r="A40" s="114" t="s">
        <v>416</v>
      </c>
      <c r="B40" s="42">
        <v>1112</v>
      </c>
      <c r="C40" s="43"/>
      <c r="D40" s="436">
        <v>-300</v>
      </c>
      <c r="E40" s="431">
        <v>-300</v>
      </c>
      <c r="F40" s="408"/>
      <c r="G40" s="71"/>
    </row>
    <row r="41" spans="1:7" ht="15.75" x14ac:dyDescent="0.25">
      <c r="A41" s="114" t="s">
        <v>418</v>
      </c>
      <c r="B41" s="42" t="s">
        <v>419</v>
      </c>
      <c r="C41" s="43"/>
      <c r="D41" s="111"/>
      <c r="E41" s="408"/>
      <c r="F41" s="408"/>
      <c r="G41" s="71"/>
    </row>
    <row r="42" spans="1:7" ht="15.75" x14ac:dyDescent="0.25">
      <c r="A42" s="114" t="s">
        <v>440</v>
      </c>
      <c r="B42" s="42"/>
      <c r="C42" s="43"/>
      <c r="D42" s="436">
        <v>100</v>
      </c>
      <c r="E42" s="431">
        <v>100</v>
      </c>
      <c r="F42" s="431">
        <v>100</v>
      </c>
      <c r="G42" s="437">
        <v>100</v>
      </c>
    </row>
    <row r="43" spans="1:7" ht="15.75" x14ac:dyDescent="0.25">
      <c r="A43" s="114" t="s">
        <v>441</v>
      </c>
      <c r="B43" s="42" t="s">
        <v>442</v>
      </c>
      <c r="C43" s="43"/>
      <c r="D43" s="111"/>
      <c r="E43" s="408"/>
      <c r="F43" s="408"/>
      <c r="G43" s="71"/>
    </row>
    <row r="44" spans="1:7" ht="15.75" x14ac:dyDescent="0.25">
      <c r="A44" s="114"/>
      <c r="B44" s="42"/>
      <c r="C44" s="43"/>
      <c r="D44" s="111"/>
      <c r="E44" s="408"/>
      <c r="F44" s="408"/>
      <c r="G44" s="71"/>
    </row>
    <row r="45" spans="1:7" ht="15.75" x14ac:dyDescent="0.25">
      <c r="A45" s="114" t="s">
        <v>164</v>
      </c>
      <c r="B45" s="42">
        <v>1083</v>
      </c>
      <c r="C45" s="43">
        <v>100</v>
      </c>
      <c r="D45" s="436">
        <v>50</v>
      </c>
      <c r="E45" s="71"/>
      <c r="F45" s="71"/>
      <c r="G45" s="71"/>
    </row>
    <row r="46" spans="1:7" ht="15.75" x14ac:dyDescent="0.25">
      <c r="A46" s="78" t="s">
        <v>141</v>
      </c>
      <c r="B46" s="55">
        <v>1031</v>
      </c>
      <c r="C46" s="43">
        <v>800</v>
      </c>
      <c r="D46" s="111"/>
      <c r="E46" s="71"/>
      <c r="F46" s="71"/>
      <c r="G46" s="71"/>
    </row>
    <row r="47" spans="1:7" ht="16.5" thickBot="1" x14ac:dyDescent="0.3">
      <c r="A47" s="81" t="s">
        <v>61</v>
      </c>
      <c r="B47" s="42"/>
      <c r="C47" s="116">
        <f>SUM(C36:C46)</f>
        <v>900</v>
      </c>
      <c r="D47" s="111"/>
      <c r="E47" s="71"/>
      <c r="F47" s="71"/>
      <c r="G47" s="71"/>
    </row>
    <row r="48" spans="1:7" ht="16.5" thickTop="1" x14ac:dyDescent="0.25">
      <c r="A48" s="114"/>
      <c r="B48" s="42"/>
      <c r="C48" s="38"/>
      <c r="D48" s="111"/>
      <c r="E48" s="71"/>
      <c r="F48" s="71"/>
      <c r="G48" s="71"/>
    </row>
    <row r="49" spans="1:9" ht="15.75" x14ac:dyDescent="0.25">
      <c r="A49" s="114"/>
      <c r="B49" s="42"/>
      <c r="C49" s="38"/>
      <c r="D49" s="111"/>
      <c r="E49" s="71"/>
      <c r="F49" s="71"/>
      <c r="G49" s="71"/>
    </row>
    <row r="50" spans="1:9" ht="15.75" x14ac:dyDescent="0.25">
      <c r="A50" s="114"/>
      <c r="B50" s="42"/>
      <c r="C50" s="38"/>
      <c r="D50" s="111"/>
      <c r="E50" s="71"/>
      <c r="F50" s="71"/>
      <c r="G50" s="71"/>
    </row>
    <row r="51" spans="1:9" ht="15.75" x14ac:dyDescent="0.25">
      <c r="A51" s="114"/>
      <c r="B51" s="42"/>
      <c r="C51" s="38"/>
      <c r="D51" s="111"/>
      <c r="E51" s="71"/>
      <c r="F51" s="71"/>
      <c r="G51" s="71"/>
    </row>
    <row r="52" spans="1:9" ht="15.75" x14ac:dyDescent="0.25">
      <c r="A52" s="114"/>
      <c r="B52" s="42"/>
      <c r="C52" s="38"/>
      <c r="D52" s="111"/>
      <c r="E52" s="71"/>
      <c r="F52" s="71"/>
      <c r="G52" s="71"/>
    </row>
    <row r="53" spans="1:9" ht="15.75" x14ac:dyDescent="0.25">
      <c r="A53" s="114"/>
      <c r="B53" s="42"/>
      <c r="C53" s="38"/>
      <c r="D53" s="111"/>
      <c r="E53" s="71"/>
      <c r="F53" s="71"/>
      <c r="G53" s="71"/>
    </row>
    <row r="54" spans="1:9" ht="15.75" x14ac:dyDescent="0.25">
      <c r="A54" s="114"/>
      <c r="B54" s="42"/>
      <c r="C54" s="38"/>
      <c r="D54" s="111"/>
      <c r="E54" s="71"/>
      <c r="F54" s="71"/>
      <c r="G54" s="71"/>
    </row>
    <row r="55" spans="1:9" ht="15.75" x14ac:dyDescent="0.25">
      <c r="A55" s="114"/>
      <c r="B55" s="42"/>
      <c r="C55" s="38"/>
      <c r="D55" s="111"/>
      <c r="E55" s="71"/>
      <c r="F55" s="71"/>
      <c r="G55" s="71"/>
    </row>
    <row r="56" spans="1:9" ht="15.75" x14ac:dyDescent="0.25">
      <c r="A56" s="114"/>
      <c r="B56" s="42"/>
      <c r="C56" s="38"/>
      <c r="D56" s="111"/>
      <c r="E56" s="71"/>
      <c r="F56" s="71"/>
      <c r="G56" s="71"/>
    </row>
    <row r="57" spans="1:9" ht="15.75" x14ac:dyDescent="0.25">
      <c r="A57" s="114"/>
      <c r="B57" s="42"/>
      <c r="C57" s="38"/>
      <c r="D57" s="111"/>
      <c r="E57" s="71"/>
      <c r="F57" s="71"/>
      <c r="G57" s="71"/>
    </row>
    <row r="58" spans="1:9" ht="15.75" x14ac:dyDescent="0.25">
      <c r="A58" s="114"/>
      <c r="B58" s="42"/>
      <c r="C58" s="38"/>
      <c r="D58" s="111"/>
      <c r="E58" s="71"/>
      <c r="F58" s="71"/>
      <c r="G58" s="71"/>
    </row>
    <row r="59" spans="1:9" ht="15.75" x14ac:dyDescent="0.25">
      <c r="A59" s="114"/>
      <c r="B59" s="42"/>
      <c r="C59" s="38"/>
      <c r="D59" s="111"/>
      <c r="E59" s="71"/>
      <c r="F59" s="71"/>
      <c r="G59" s="71"/>
    </row>
    <row r="60" spans="1:9" ht="15.75" x14ac:dyDescent="0.25">
      <c r="A60" s="114"/>
      <c r="B60" s="42"/>
      <c r="C60" s="38"/>
      <c r="D60" s="111"/>
      <c r="E60" s="71"/>
      <c r="F60" s="71"/>
      <c r="G60" s="71"/>
    </row>
    <row r="61" spans="1:9" ht="16.5" thickBot="1" x14ac:dyDescent="0.3">
      <c r="A61" s="114"/>
      <c r="B61" s="42"/>
      <c r="C61" s="38"/>
      <c r="D61" s="111"/>
      <c r="E61" s="71"/>
      <c r="F61" s="71"/>
      <c r="G61" s="71"/>
    </row>
    <row r="62" spans="1:9" ht="16.5" thickBot="1" x14ac:dyDescent="0.3">
      <c r="A62" s="89" t="s">
        <v>62</v>
      </c>
      <c r="B62" s="90"/>
      <c r="C62" s="190">
        <f>+C7+C34+C47+C8</f>
        <v>53790</v>
      </c>
      <c r="D62" s="126">
        <f>SUM(D7:D61)</f>
        <v>55342</v>
      </c>
      <c r="E62" s="93">
        <f>SUM(E7:E61)</f>
        <v>57012</v>
      </c>
      <c r="F62" s="93">
        <f>SUM(F7:F61)</f>
        <v>54712</v>
      </c>
      <c r="G62" s="93">
        <f>SUM(G7:G61)</f>
        <v>55512</v>
      </c>
    </row>
    <row r="64" spans="1:9" x14ac:dyDescent="0.2">
      <c r="I64" s="178"/>
    </row>
    <row r="68" spans="5:5" x14ac:dyDescent="0.2">
      <c r="E68" s="196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9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H58" sqref="H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52</v>
      </c>
      <c r="B2" s="6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11"/>
      <c r="C3" s="12"/>
      <c r="D3" s="12"/>
      <c r="E3" s="12"/>
      <c r="F3" s="12"/>
      <c r="G3" s="12"/>
    </row>
    <row r="4" spans="1:7" ht="22.5" x14ac:dyDescent="0.3">
      <c r="A4" s="13"/>
      <c r="B4" s="1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55">
        <v>1150</v>
      </c>
      <c r="C7" s="130">
        <v>6172</v>
      </c>
      <c r="D7" s="131">
        <f>+C58</f>
        <v>4988</v>
      </c>
      <c r="E7" s="109">
        <f>+D7</f>
        <v>4988</v>
      </c>
      <c r="F7" s="109">
        <f>+D7</f>
        <v>4988</v>
      </c>
      <c r="G7" s="109">
        <f>+D7</f>
        <v>4988</v>
      </c>
    </row>
    <row r="8" spans="1:7" ht="15.75" x14ac:dyDescent="0.25">
      <c r="A8" s="78" t="s">
        <v>354</v>
      </c>
      <c r="B8" s="55">
        <v>1150</v>
      </c>
      <c r="C8" s="130">
        <v>-190</v>
      </c>
      <c r="D8" s="132">
        <f>-C19</f>
        <v>-50</v>
      </c>
      <c r="E8" s="40">
        <f>-C19</f>
        <v>-50</v>
      </c>
      <c r="F8" s="40">
        <f>-C19</f>
        <v>-50</v>
      </c>
      <c r="G8" s="40">
        <f>-C19</f>
        <v>-50</v>
      </c>
    </row>
    <row r="9" spans="1:7" ht="15.75" x14ac:dyDescent="0.25">
      <c r="A9" s="78"/>
      <c r="B9" s="55"/>
      <c r="C9" s="130"/>
      <c r="D9" s="132"/>
      <c r="E9" s="40"/>
      <c r="F9" s="40"/>
      <c r="G9" s="40"/>
    </row>
    <row r="10" spans="1:7" ht="15.75" x14ac:dyDescent="0.25">
      <c r="A10" s="36" t="s">
        <v>57</v>
      </c>
      <c r="B10" s="55"/>
      <c r="C10" s="130"/>
      <c r="D10" s="132"/>
      <c r="E10" s="40"/>
      <c r="F10" s="40"/>
      <c r="G10" s="40"/>
    </row>
    <row r="11" spans="1:7" ht="15.75" x14ac:dyDescent="0.25">
      <c r="A11" s="78" t="s">
        <v>351</v>
      </c>
      <c r="B11" s="55">
        <v>1150</v>
      </c>
      <c r="C11" s="130">
        <v>-1089</v>
      </c>
      <c r="D11" s="132"/>
      <c r="E11" s="40"/>
      <c r="F11" s="40"/>
      <c r="G11" s="40"/>
    </row>
    <row r="12" spans="1:7" ht="15.75" x14ac:dyDescent="0.25">
      <c r="A12" s="78" t="s">
        <v>161</v>
      </c>
      <c r="B12" s="55">
        <v>1150</v>
      </c>
      <c r="C12" s="130">
        <v>45</v>
      </c>
      <c r="D12" s="132">
        <v>30</v>
      </c>
      <c r="E12" s="40">
        <v>30</v>
      </c>
      <c r="F12" s="40">
        <v>30</v>
      </c>
      <c r="G12" s="40">
        <v>30</v>
      </c>
    </row>
    <row r="13" spans="1:7" s="136" customFormat="1" ht="16.5" thickBot="1" x14ac:dyDescent="0.3">
      <c r="A13" s="81" t="s">
        <v>65</v>
      </c>
      <c r="B13" s="148"/>
      <c r="C13" s="116">
        <f>SUM(C10:C12)</f>
        <v>-1044</v>
      </c>
      <c r="D13" s="134"/>
      <c r="E13" s="135"/>
      <c r="F13" s="135"/>
      <c r="G13" s="135"/>
    </row>
    <row r="14" spans="1:7" ht="16.5" thickTop="1" x14ac:dyDescent="0.25">
      <c r="A14" s="69"/>
      <c r="B14" s="42"/>
      <c r="C14" s="43"/>
      <c r="D14" s="115"/>
      <c r="E14" s="71"/>
      <c r="F14" s="71"/>
      <c r="G14" s="71"/>
    </row>
    <row r="15" spans="1:7" ht="15.75" x14ac:dyDescent="0.25">
      <c r="A15" s="81" t="s">
        <v>60</v>
      </c>
      <c r="B15" s="42"/>
      <c r="C15" s="43"/>
      <c r="D15" s="115"/>
      <c r="E15" s="71"/>
      <c r="F15" s="71"/>
      <c r="G15" s="71"/>
    </row>
    <row r="16" spans="1:7" ht="15.75" x14ac:dyDescent="0.25">
      <c r="A16" s="69" t="s">
        <v>281</v>
      </c>
      <c r="B16" s="42">
        <v>1150</v>
      </c>
      <c r="C16" s="43">
        <v>50</v>
      </c>
      <c r="D16" s="115"/>
      <c r="E16" s="71"/>
      <c r="F16" s="71"/>
      <c r="G16" s="71"/>
    </row>
    <row r="17" spans="1:7" ht="15.75" x14ac:dyDescent="0.25">
      <c r="A17" s="69" t="s">
        <v>339</v>
      </c>
      <c r="B17" s="42">
        <v>1150</v>
      </c>
      <c r="C17" s="43"/>
      <c r="D17" s="115"/>
      <c r="E17" s="71"/>
      <c r="F17" s="71"/>
      <c r="G17" s="71"/>
    </row>
    <row r="18" spans="1:7" ht="15.75" x14ac:dyDescent="0.25">
      <c r="A18" s="69" t="s">
        <v>7</v>
      </c>
      <c r="B18" s="42">
        <v>1150</v>
      </c>
      <c r="C18" s="43"/>
      <c r="D18" s="115"/>
      <c r="E18" s="71"/>
      <c r="F18" s="71"/>
      <c r="G18" s="71"/>
    </row>
    <row r="19" spans="1:7" s="136" customFormat="1" ht="16.5" thickBot="1" x14ac:dyDescent="0.3">
      <c r="A19" s="81" t="s">
        <v>66</v>
      </c>
      <c r="B19" s="148"/>
      <c r="C19" s="116">
        <f>SUM(C15:C18)</f>
        <v>50</v>
      </c>
      <c r="D19" s="134"/>
      <c r="E19" s="135"/>
      <c r="F19" s="135"/>
      <c r="G19" s="135"/>
    </row>
    <row r="20" spans="1:7" ht="16.5" thickTop="1" x14ac:dyDescent="0.25">
      <c r="A20" s="193"/>
      <c r="B20" s="42"/>
      <c r="C20" s="38"/>
      <c r="D20" s="115"/>
      <c r="E20" s="71"/>
      <c r="F20" s="71"/>
      <c r="G20" s="71"/>
    </row>
    <row r="21" spans="1:7" ht="15.75" x14ac:dyDescent="0.25">
      <c r="A21" s="193"/>
      <c r="B21" s="42"/>
      <c r="C21" s="43"/>
      <c r="D21" s="115"/>
      <c r="E21" s="71"/>
      <c r="F21" s="71"/>
      <c r="G21" s="71"/>
    </row>
    <row r="22" spans="1:7" ht="15.75" x14ac:dyDescent="0.25">
      <c r="A22" s="192"/>
      <c r="B22" s="205"/>
      <c r="C22" s="44"/>
      <c r="D22" s="115"/>
      <c r="E22" s="71"/>
      <c r="F22" s="71"/>
      <c r="G22" s="71"/>
    </row>
    <row r="23" spans="1:7" ht="15.75" x14ac:dyDescent="0.25">
      <c r="A23" s="192"/>
      <c r="B23" s="205"/>
      <c r="C23" s="44"/>
      <c r="D23" s="115"/>
      <c r="E23" s="71"/>
      <c r="F23" s="71"/>
      <c r="G23" s="71"/>
    </row>
    <row r="24" spans="1:7" ht="15.75" x14ac:dyDescent="0.25">
      <c r="A24" s="192"/>
      <c r="B24" s="205"/>
      <c r="C24" s="44"/>
      <c r="D24" s="115"/>
      <c r="E24" s="71"/>
      <c r="F24" s="71"/>
      <c r="G24" s="71"/>
    </row>
    <row r="25" spans="1:7" ht="15.75" x14ac:dyDescent="0.25">
      <c r="A25" s="192"/>
      <c r="B25" s="205"/>
      <c r="C25" s="44"/>
      <c r="D25" s="115"/>
      <c r="E25" s="71"/>
      <c r="F25" s="71"/>
      <c r="G25" s="71"/>
    </row>
    <row r="26" spans="1:7" ht="15.75" x14ac:dyDescent="0.25">
      <c r="A26" s="192"/>
      <c r="B26" s="205"/>
      <c r="C26" s="44"/>
      <c r="D26" s="115"/>
      <c r="E26" s="71"/>
      <c r="F26" s="71"/>
      <c r="G26" s="71"/>
    </row>
    <row r="27" spans="1:7" ht="15.75" x14ac:dyDescent="0.25">
      <c r="A27" s="192"/>
      <c r="B27" s="205"/>
      <c r="C27" s="44"/>
      <c r="D27" s="115"/>
      <c r="E27" s="71"/>
      <c r="F27" s="71"/>
      <c r="G27" s="71"/>
    </row>
    <row r="28" spans="1:7" ht="15.75" x14ac:dyDescent="0.25">
      <c r="A28" s="192"/>
      <c r="B28" s="205"/>
      <c r="C28" s="44"/>
      <c r="D28" s="115"/>
      <c r="E28" s="71"/>
      <c r="F28" s="71"/>
      <c r="G28" s="71"/>
    </row>
    <row r="29" spans="1:7" ht="15.75" x14ac:dyDescent="0.25">
      <c r="A29" s="192"/>
      <c r="B29" s="205"/>
      <c r="C29" s="44"/>
      <c r="D29" s="115"/>
      <c r="E29" s="71"/>
      <c r="F29" s="71"/>
      <c r="G29" s="71"/>
    </row>
    <row r="30" spans="1:7" ht="15.75" x14ac:dyDescent="0.25">
      <c r="A30" s="192"/>
      <c r="B30" s="205"/>
      <c r="C30" s="44"/>
      <c r="D30" s="115"/>
      <c r="E30" s="71"/>
      <c r="F30" s="71"/>
      <c r="G30" s="71"/>
    </row>
    <row r="31" spans="1:7" ht="15.75" x14ac:dyDescent="0.25">
      <c r="A31" s="192"/>
      <c r="B31" s="205"/>
      <c r="C31" s="44"/>
      <c r="D31" s="115"/>
      <c r="E31" s="71"/>
      <c r="F31" s="71"/>
      <c r="G31" s="71"/>
    </row>
    <row r="32" spans="1:7" ht="15.75" x14ac:dyDescent="0.25">
      <c r="A32" s="192"/>
      <c r="B32" s="205"/>
      <c r="C32" s="44"/>
      <c r="D32" s="115"/>
      <c r="E32" s="71"/>
      <c r="F32" s="71"/>
      <c r="G32" s="71"/>
    </row>
    <row r="33" spans="1:7" ht="15.75" x14ac:dyDescent="0.25">
      <c r="A33" s="192"/>
      <c r="B33" s="205"/>
      <c r="C33" s="44"/>
      <c r="D33" s="115"/>
      <c r="E33" s="71"/>
      <c r="F33" s="71"/>
      <c r="G33" s="71"/>
    </row>
    <row r="34" spans="1:7" ht="15.75" x14ac:dyDescent="0.25">
      <c r="A34" s="192"/>
      <c r="B34" s="205"/>
      <c r="C34" s="44"/>
      <c r="D34" s="115"/>
      <c r="E34" s="71"/>
      <c r="F34" s="71"/>
      <c r="G34" s="71"/>
    </row>
    <row r="35" spans="1:7" ht="15.75" x14ac:dyDescent="0.25">
      <c r="A35" s="192"/>
      <c r="B35" s="205"/>
      <c r="C35" s="44"/>
      <c r="D35" s="115"/>
      <c r="E35" s="71"/>
      <c r="F35" s="71"/>
      <c r="G35" s="71"/>
    </row>
    <row r="36" spans="1:7" ht="15.75" x14ac:dyDescent="0.25">
      <c r="A36" s="192"/>
      <c r="B36" s="205"/>
      <c r="C36" s="44"/>
      <c r="D36" s="115"/>
      <c r="E36" s="71"/>
      <c r="F36" s="71"/>
      <c r="G36" s="71"/>
    </row>
    <row r="37" spans="1:7" ht="15.75" x14ac:dyDescent="0.25">
      <c r="A37" s="192"/>
      <c r="B37" s="205"/>
      <c r="C37" s="44"/>
      <c r="D37" s="115"/>
      <c r="E37" s="71"/>
      <c r="F37" s="71"/>
      <c r="G37" s="71"/>
    </row>
    <row r="38" spans="1:7" ht="15.75" x14ac:dyDescent="0.25">
      <c r="A38" s="192"/>
      <c r="B38" s="205"/>
      <c r="C38" s="44"/>
      <c r="D38" s="115"/>
      <c r="E38" s="71"/>
      <c r="F38" s="71"/>
      <c r="G38" s="71"/>
    </row>
    <row r="39" spans="1:7" ht="15.75" x14ac:dyDescent="0.25">
      <c r="A39" s="192"/>
      <c r="B39" s="205"/>
      <c r="C39" s="44"/>
      <c r="D39" s="115"/>
      <c r="E39" s="71"/>
      <c r="F39" s="71"/>
      <c r="G39" s="71"/>
    </row>
    <row r="40" spans="1:7" ht="15.75" x14ac:dyDescent="0.25">
      <c r="A40" s="192"/>
      <c r="B40" s="205"/>
      <c r="C40" s="44"/>
      <c r="D40" s="115"/>
      <c r="E40" s="71"/>
      <c r="F40" s="71"/>
      <c r="G40" s="71"/>
    </row>
    <row r="41" spans="1:7" ht="15.75" x14ac:dyDescent="0.25">
      <c r="A41" s="192"/>
      <c r="B41" s="205"/>
      <c r="C41" s="44"/>
      <c r="D41" s="115"/>
      <c r="E41" s="71"/>
      <c r="F41" s="71"/>
      <c r="G41" s="71"/>
    </row>
    <row r="42" spans="1:7" ht="15.75" x14ac:dyDescent="0.25">
      <c r="A42" s="192"/>
      <c r="B42" s="205"/>
      <c r="C42" s="44"/>
      <c r="D42" s="115"/>
      <c r="E42" s="71"/>
      <c r="F42" s="71"/>
      <c r="G42" s="71"/>
    </row>
    <row r="43" spans="1:7" ht="15.75" x14ac:dyDescent="0.25">
      <c r="A43" s="192"/>
      <c r="B43" s="205"/>
      <c r="C43" s="44"/>
      <c r="D43" s="115"/>
      <c r="E43" s="71"/>
      <c r="F43" s="71"/>
      <c r="G43" s="71"/>
    </row>
    <row r="44" spans="1:7" ht="15.75" x14ac:dyDescent="0.25">
      <c r="A44" s="192"/>
      <c r="B44" s="205"/>
      <c r="C44" s="44"/>
      <c r="D44" s="115"/>
      <c r="E44" s="71"/>
      <c r="F44" s="71"/>
      <c r="G44" s="71"/>
    </row>
    <row r="45" spans="1:7" ht="15.75" x14ac:dyDescent="0.25">
      <c r="A45" s="192"/>
      <c r="B45" s="205"/>
      <c r="C45" s="44"/>
      <c r="D45" s="115"/>
      <c r="E45" s="71"/>
      <c r="F45" s="71"/>
      <c r="G45" s="71"/>
    </row>
    <row r="46" spans="1:7" ht="15.75" x14ac:dyDescent="0.25">
      <c r="A46" s="192"/>
      <c r="B46" s="205"/>
      <c r="C46" s="44"/>
      <c r="D46" s="115"/>
      <c r="E46" s="71"/>
      <c r="F46" s="71"/>
      <c r="G46" s="71"/>
    </row>
    <row r="47" spans="1:7" ht="15.75" x14ac:dyDescent="0.25">
      <c r="A47" s="192"/>
      <c r="B47" s="205"/>
      <c r="C47" s="44"/>
      <c r="D47" s="115"/>
      <c r="E47" s="71"/>
      <c r="F47" s="71"/>
      <c r="G47" s="71"/>
    </row>
    <row r="48" spans="1:7" ht="15.75" x14ac:dyDescent="0.25">
      <c r="A48" s="192"/>
      <c r="B48" s="205"/>
      <c r="C48" s="44"/>
      <c r="D48" s="115"/>
      <c r="E48" s="71"/>
      <c r="F48" s="71"/>
      <c r="G48" s="71"/>
    </row>
    <row r="49" spans="1:7" ht="15.75" x14ac:dyDescent="0.25">
      <c r="A49" s="192"/>
      <c r="B49" s="205"/>
      <c r="C49" s="44"/>
      <c r="D49" s="115"/>
      <c r="E49" s="71"/>
      <c r="F49" s="71"/>
      <c r="G49" s="71"/>
    </row>
    <row r="50" spans="1:7" ht="15.75" x14ac:dyDescent="0.25">
      <c r="A50" s="192"/>
      <c r="B50" s="205"/>
      <c r="C50" s="44"/>
      <c r="D50" s="115"/>
      <c r="E50" s="71"/>
      <c r="F50" s="71"/>
      <c r="G50" s="71"/>
    </row>
    <row r="51" spans="1:7" ht="15.75" x14ac:dyDescent="0.25">
      <c r="A51" s="192"/>
      <c r="B51" s="205"/>
      <c r="C51" s="44"/>
      <c r="D51" s="115"/>
      <c r="E51" s="71"/>
      <c r="F51" s="71"/>
      <c r="G51" s="71"/>
    </row>
    <row r="52" spans="1:7" ht="15.75" x14ac:dyDescent="0.25">
      <c r="A52" s="192"/>
      <c r="B52" s="205"/>
      <c r="C52" s="44"/>
      <c r="D52" s="115"/>
      <c r="E52" s="71"/>
      <c r="F52" s="71"/>
      <c r="G52" s="71"/>
    </row>
    <row r="53" spans="1:7" ht="15.75" x14ac:dyDescent="0.25">
      <c r="A53" s="192"/>
      <c r="B53" s="205"/>
      <c r="C53" s="44"/>
      <c r="D53" s="115"/>
      <c r="E53" s="71"/>
      <c r="F53" s="71"/>
      <c r="G53" s="71"/>
    </row>
    <row r="54" spans="1:7" ht="15.75" x14ac:dyDescent="0.25">
      <c r="A54" s="193"/>
      <c r="B54" s="42"/>
      <c r="C54" s="43"/>
      <c r="D54" s="115"/>
      <c r="E54" s="79"/>
      <c r="F54" s="71"/>
      <c r="G54" s="71"/>
    </row>
    <row r="55" spans="1:7" ht="15.75" x14ac:dyDescent="0.25">
      <c r="A55" s="193"/>
      <c r="B55" s="42"/>
      <c r="C55" s="43"/>
      <c r="D55" s="115"/>
      <c r="E55" s="79"/>
      <c r="F55" s="71"/>
      <c r="G55" s="71"/>
    </row>
    <row r="56" spans="1:7" ht="15.75" x14ac:dyDescent="0.25">
      <c r="A56" s="193"/>
      <c r="B56" s="42"/>
      <c r="C56" s="43"/>
      <c r="D56" s="115"/>
      <c r="E56" s="79"/>
      <c r="F56" s="71"/>
      <c r="G56" s="71"/>
    </row>
    <row r="57" spans="1:7" ht="16.5" thickBot="1" x14ac:dyDescent="0.3">
      <c r="A57" s="194"/>
      <c r="B57" s="46"/>
      <c r="C57" s="47"/>
      <c r="D57" s="120"/>
      <c r="E57" s="73"/>
      <c r="F57" s="73"/>
      <c r="G57" s="121"/>
    </row>
    <row r="58" spans="1:7" ht="16.5" thickBot="1" x14ac:dyDescent="0.3">
      <c r="A58" s="122" t="s">
        <v>62</v>
      </c>
      <c r="B58" s="123"/>
      <c r="C58" s="125">
        <f>+C13+C19+C7+C8</f>
        <v>4988</v>
      </c>
      <c r="D58" s="138">
        <f>SUM(D7:D57)</f>
        <v>4968</v>
      </c>
      <c r="E58" s="127">
        <f>SUM(E7:E57)</f>
        <v>4968</v>
      </c>
      <c r="F58" s="127">
        <f>SUM(F7:F57)</f>
        <v>4968</v>
      </c>
      <c r="G58" s="127">
        <f>SUM(G7:G57)</f>
        <v>4968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zoomScaleNormal="100" workbookViewId="0">
      <selection activeCell="F16" sqref="F16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63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75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76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77" t="s">
        <v>56</v>
      </c>
      <c r="B7" s="105"/>
      <c r="C7" s="106">
        <v>-6219</v>
      </c>
      <c r="D7" s="107">
        <f>+C58</f>
        <v>5257</v>
      </c>
      <c r="E7" s="108">
        <f>D7</f>
        <v>5257</v>
      </c>
      <c r="F7" s="109">
        <f>E7</f>
        <v>5257</v>
      </c>
      <c r="G7" s="109">
        <f>F7</f>
        <v>5257</v>
      </c>
    </row>
    <row r="8" spans="1:7" ht="15.75" x14ac:dyDescent="0.25">
      <c r="A8" s="78" t="s">
        <v>354</v>
      </c>
      <c r="B8" s="105"/>
      <c r="C8" s="110">
        <v>20106</v>
      </c>
      <c r="D8" s="111">
        <f>-C31</f>
        <v>11900</v>
      </c>
      <c r="E8" s="65">
        <f>-C31</f>
        <v>11900</v>
      </c>
      <c r="F8" s="40">
        <f>-C31</f>
        <v>11900</v>
      </c>
      <c r="G8" s="40">
        <f>-C31</f>
        <v>11900</v>
      </c>
    </row>
    <row r="9" spans="1:7" ht="15.75" x14ac:dyDescent="0.25">
      <c r="A9" s="377"/>
      <c r="B9" s="105"/>
      <c r="C9" s="110"/>
      <c r="D9" s="111"/>
      <c r="E9" s="112"/>
      <c r="F9" s="109"/>
      <c r="G9" s="109"/>
    </row>
    <row r="10" spans="1:7" ht="15.75" x14ac:dyDescent="0.25">
      <c r="A10" s="377" t="s">
        <v>64</v>
      </c>
      <c r="B10" s="211"/>
      <c r="C10" s="212"/>
      <c r="D10" s="111"/>
      <c r="E10" s="65"/>
      <c r="F10" s="40"/>
      <c r="G10" s="40"/>
    </row>
    <row r="11" spans="1:7" ht="15.75" x14ac:dyDescent="0.25">
      <c r="A11" s="378" t="s">
        <v>177</v>
      </c>
      <c r="B11" s="55">
        <v>7500</v>
      </c>
      <c r="C11" s="315"/>
      <c r="D11" s="115"/>
      <c r="E11" s="65"/>
      <c r="F11" s="40"/>
      <c r="G11" s="40"/>
    </row>
    <row r="12" spans="1:7" s="200" customFormat="1" ht="15.75" x14ac:dyDescent="0.25">
      <c r="A12" s="378" t="s">
        <v>192</v>
      </c>
      <c r="B12" s="55">
        <v>7490</v>
      </c>
      <c r="C12" s="315"/>
      <c r="D12" s="115"/>
      <c r="E12" s="65"/>
      <c r="F12" s="40"/>
      <c r="G12" s="40"/>
    </row>
    <row r="13" spans="1:7" s="200" customFormat="1" ht="15.75" x14ac:dyDescent="0.25">
      <c r="A13" s="378" t="s">
        <v>218</v>
      </c>
      <c r="B13" s="55">
        <v>7490</v>
      </c>
      <c r="C13" s="315"/>
      <c r="D13" s="115"/>
      <c r="E13" s="65"/>
      <c r="F13" s="40"/>
      <c r="G13" s="40"/>
    </row>
    <row r="14" spans="1:7" s="200" customFormat="1" ht="15.75" x14ac:dyDescent="0.25">
      <c r="A14" s="378" t="s">
        <v>239</v>
      </c>
      <c r="B14" s="55">
        <v>7430</v>
      </c>
      <c r="C14" s="315"/>
      <c r="D14" s="115">
        <v>-540</v>
      </c>
      <c r="E14" s="65">
        <v>-540</v>
      </c>
      <c r="F14" s="40">
        <v>-540</v>
      </c>
      <c r="G14" s="40">
        <v>-540</v>
      </c>
    </row>
    <row r="15" spans="1:7" s="200" customFormat="1" ht="15.75" x14ac:dyDescent="0.25">
      <c r="A15" s="378" t="s">
        <v>235</v>
      </c>
      <c r="B15" s="55">
        <v>7490</v>
      </c>
      <c r="C15" s="315">
        <v>-7565</v>
      </c>
      <c r="D15" s="115"/>
      <c r="E15" s="65"/>
      <c r="F15" s="40"/>
      <c r="G15" s="40"/>
    </row>
    <row r="16" spans="1:7" s="200" customFormat="1" ht="15.75" x14ac:dyDescent="0.25">
      <c r="A16" s="324" t="s">
        <v>232</v>
      </c>
      <c r="B16" s="55">
        <v>7950</v>
      </c>
      <c r="C16" s="315">
        <v>4000</v>
      </c>
      <c r="D16" s="115"/>
      <c r="E16" s="65"/>
      <c r="F16" s="40"/>
      <c r="G16" s="40"/>
    </row>
    <row r="17" spans="1:7" s="200" customFormat="1" ht="15.75" x14ac:dyDescent="0.25">
      <c r="A17" s="380" t="s">
        <v>347</v>
      </c>
      <c r="B17" s="55">
        <v>7490</v>
      </c>
      <c r="C17" s="315"/>
      <c r="D17" s="403">
        <v>0</v>
      </c>
      <c r="E17" s="424">
        <v>0</v>
      </c>
      <c r="F17" s="409">
        <v>0</v>
      </c>
      <c r="G17" s="409">
        <v>0</v>
      </c>
    </row>
    <row r="18" spans="1:7" s="200" customFormat="1" ht="15.75" x14ac:dyDescent="0.25">
      <c r="A18" s="380" t="s">
        <v>338</v>
      </c>
      <c r="B18" s="55">
        <v>7490</v>
      </c>
      <c r="C18" s="315">
        <v>-22215</v>
      </c>
      <c r="D18" s="403"/>
      <c r="E18" s="424"/>
      <c r="F18" s="409"/>
      <c r="G18" s="409"/>
    </row>
    <row r="19" spans="1:7" s="200" customFormat="1" ht="15.75" x14ac:dyDescent="0.25">
      <c r="A19" s="378" t="s">
        <v>415</v>
      </c>
      <c r="B19" s="55">
        <v>7490</v>
      </c>
      <c r="C19" s="315">
        <v>4050</v>
      </c>
      <c r="D19" s="403">
        <v>20000</v>
      </c>
      <c r="E19" s="424">
        <v>20000</v>
      </c>
      <c r="F19" s="409">
        <v>20000</v>
      </c>
      <c r="G19" s="409">
        <v>20000</v>
      </c>
    </row>
    <row r="20" spans="1:7" s="200" customFormat="1" ht="15.75" x14ac:dyDescent="0.25">
      <c r="A20" s="378" t="s">
        <v>242</v>
      </c>
      <c r="B20" s="55">
        <v>7490</v>
      </c>
      <c r="C20" s="315">
        <v>20000</v>
      </c>
      <c r="D20" s="115"/>
      <c r="E20" s="65"/>
      <c r="F20" s="40"/>
      <c r="G20" s="40"/>
    </row>
    <row r="21" spans="1:7" s="200" customFormat="1" ht="15.75" x14ac:dyDescent="0.25">
      <c r="A21" s="378" t="s">
        <v>191</v>
      </c>
      <c r="B21" s="55">
        <v>7430</v>
      </c>
      <c r="C21" s="358">
        <v>5000</v>
      </c>
      <c r="D21" s="115"/>
      <c r="E21" s="65"/>
      <c r="F21" s="40"/>
      <c r="G21" s="40"/>
    </row>
    <row r="22" spans="1:7" ht="16.5" thickBot="1" x14ac:dyDescent="0.3">
      <c r="A22" s="381" t="s">
        <v>65</v>
      </c>
      <c r="B22" s="148"/>
      <c r="C22" s="360">
        <f>SUM(C10:C21)</f>
        <v>3270</v>
      </c>
      <c r="D22" s="115"/>
      <c r="E22" s="71"/>
      <c r="F22" s="71"/>
      <c r="G22" s="71"/>
    </row>
    <row r="23" spans="1:7" ht="16.5" thickTop="1" x14ac:dyDescent="0.25">
      <c r="A23" s="382"/>
      <c r="B23" s="42"/>
      <c r="C23" s="129"/>
      <c r="D23" s="115"/>
      <c r="E23" s="71"/>
      <c r="F23" s="71"/>
      <c r="G23" s="71"/>
    </row>
    <row r="24" spans="1:7" ht="15.75" x14ac:dyDescent="0.25">
      <c r="A24" s="381" t="s">
        <v>60</v>
      </c>
      <c r="B24" s="42"/>
      <c r="C24" s="43"/>
      <c r="D24" s="111"/>
      <c r="E24" s="71"/>
      <c r="F24" s="71"/>
      <c r="G24" s="71"/>
    </row>
    <row r="25" spans="1:7" ht="15.75" x14ac:dyDescent="0.25">
      <c r="A25" s="378" t="s">
        <v>157</v>
      </c>
      <c r="B25" s="55">
        <v>7430</v>
      </c>
      <c r="C25" s="315">
        <v>0</v>
      </c>
      <c r="D25" s="115"/>
      <c r="E25" s="65"/>
      <c r="F25" s="40"/>
      <c r="G25" s="40"/>
    </row>
    <row r="26" spans="1:7" ht="15.75" x14ac:dyDescent="0.25">
      <c r="A26" s="378" t="s">
        <v>11</v>
      </c>
      <c r="B26" s="55">
        <v>7430</v>
      </c>
      <c r="C26" s="315"/>
      <c r="D26" s="403">
        <v>-4000</v>
      </c>
      <c r="E26" s="65"/>
      <c r="F26" s="40"/>
      <c r="G26" s="40"/>
    </row>
    <row r="27" spans="1:7" ht="15.75" x14ac:dyDescent="0.25">
      <c r="A27" s="383" t="s">
        <v>188</v>
      </c>
      <c r="B27" s="295">
        <v>7431</v>
      </c>
      <c r="C27" s="316">
        <v>2200</v>
      </c>
      <c r="D27" s="115">
        <v>2200</v>
      </c>
      <c r="E27" s="71">
        <v>2200</v>
      </c>
      <c r="F27" s="71">
        <v>2200</v>
      </c>
      <c r="G27" s="71">
        <v>2200</v>
      </c>
    </row>
    <row r="28" spans="1:7" ht="15.75" x14ac:dyDescent="0.25">
      <c r="A28" s="378" t="s">
        <v>189</v>
      </c>
      <c r="B28" s="55">
        <v>7431</v>
      </c>
      <c r="C28" s="315">
        <v>-11600</v>
      </c>
      <c r="D28" s="403">
        <f>-22600-4000+6700</f>
        <v>-19900</v>
      </c>
      <c r="E28" s="424">
        <f>-22600-4000</f>
        <v>-26600</v>
      </c>
      <c r="F28" s="409">
        <f>-22600-4000</f>
        <v>-26600</v>
      </c>
      <c r="G28" s="409">
        <f>+F28</f>
        <v>-26600</v>
      </c>
    </row>
    <row r="29" spans="1:7" ht="15.75" x14ac:dyDescent="0.25">
      <c r="A29" s="379" t="s">
        <v>233</v>
      </c>
      <c r="B29" s="330">
        <v>7430</v>
      </c>
      <c r="C29" s="331">
        <v>-12000</v>
      </c>
      <c r="D29" s="403">
        <v>-6700</v>
      </c>
      <c r="E29" s="65"/>
      <c r="F29" s="40"/>
      <c r="G29" s="40"/>
    </row>
    <row r="30" spans="1:7" ht="15.75" x14ac:dyDescent="0.25">
      <c r="A30" s="378" t="s">
        <v>111</v>
      </c>
      <c r="B30" s="55">
        <v>7431</v>
      </c>
      <c r="C30" s="317">
        <v>9500</v>
      </c>
      <c r="D30" s="403">
        <f>8500+1500</f>
        <v>10000</v>
      </c>
      <c r="E30" s="424">
        <f>8500+1500</f>
        <v>10000</v>
      </c>
      <c r="F30" s="409">
        <f>+E30</f>
        <v>10000</v>
      </c>
      <c r="G30" s="409">
        <f>+F30</f>
        <v>10000</v>
      </c>
    </row>
    <row r="31" spans="1:7" ht="16.5" thickBot="1" x14ac:dyDescent="0.3">
      <c r="A31" s="381" t="s">
        <v>66</v>
      </c>
      <c r="B31" s="42"/>
      <c r="C31" s="314">
        <f>SUM(C24:C30)</f>
        <v>-11900</v>
      </c>
      <c r="D31" s="115"/>
      <c r="E31" s="71"/>
      <c r="F31" s="71"/>
      <c r="G31" s="71"/>
    </row>
    <row r="32" spans="1:7" ht="16.5" thickTop="1" x14ac:dyDescent="0.25">
      <c r="A32" s="383"/>
      <c r="B32" s="42"/>
      <c r="C32" s="38"/>
      <c r="D32" s="115"/>
      <c r="E32" s="71"/>
      <c r="F32" s="71"/>
      <c r="G32" s="71"/>
    </row>
    <row r="33" spans="1:7" ht="14.25" customHeight="1" x14ac:dyDescent="0.25">
      <c r="A33" s="383"/>
      <c r="B33" s="42"/>
      <c r="C33" s="43"/>
      <c r="D33" s="115"/>
      <c r="E33" s="71"/>
      <c r="F33" s="71"/>
      <c r="G33" s="71"/>
    </row>
    <row r="34" spans="1:7" ht="15.75" x14ac:dyDescent="0.25">
      <c r="A34" s="383"/>
      <c r="B34" s="42"/>
      <c r="C34" s="43"/>
      <c r="D34" s="115"/>
      <c r="E34" s="71"/>
      <c r="F34" s="71"/>
      <c r="G34" s="71"/>
    </row>
    <row r="35" spans="1:7" ht="15.75" x14ac:dyDescent="0.25">
      <c r="A35" s="383"/>
      <c r="B35" s="42"/>
      <c r="C35" s="43"/>
      <c r="D35" s="115"/>
      <c r="E35" s="71"/>
      <c r="F35" s="71"/>
      <c r="G35" s="71"/>
    </row>
    <row r="36" spans="1:7" ht="15.75" x14ac:dyDescent="0.25">
      <c r="A36" s="383"/>
      <c r="B36" s="42"/>
      <c r="C36" s="43"/>
      <c r="D36" s="115"/>
      <c r="E36" s="71"/>
      <c r="F36" s="71"/>
      <c r="G36" s="71"/>
    </row>
    <row r="37" spans="1:7" ht="15.75" x14ac:dyDescent="0.25">
      <c r="A37" s="383"/>
      <c r="B37" s="42"/>
      <c r="C37" s="43"/>
      <c r="D37" s="115"/>
      <c r="E37" s="71"/>
      <c r="F37" s="71"/>
      <c r="G37" s="71"/>
    </row>
    <row r="38" spans="1:7" ht="15.75" x14ac:dyDescent="0.25">
      <c r="A38" s="383"/>
      <c r="B38" s="42"/>
      <c r="C38" s="43"/>
      <c r="D38" s="115"/>
      <c r="E38" s="71"/>
      <c r="F38" s="71"/>
      <c r="G38" s="71"/>
    </row>
    <row r="39" spans="1:7" ht="15.75" x14ac:dyDescent="0.25">
      <c r="A39" s="383"/>
      <c r="B39" s="42"/>
      <c r="C39" s="43"/>
      <c r="D39" s="115"/>
      <c r="E39" s="71"/>
      <c r="F39" s="71"/>
      <c r="G39" s="71"/>
    </row>
    <row r="40" spans="1:7" ht="15.75" x14ac:dyDescent="0.25">
      <c r="A40" s="383"/>
      <c r="B40" s="42"/>
      <c r="C40" s="43"/>
      <c r="D40" s="115"/>
      <c r="E40" s="71"/>
      <c r="F40" s="71"/>
      <c r="G40" s="71"/>
    </row>
    <row r="41" spans="1:7" ht="15.75" x14ac:dyDescent="0.25">
      <c r="A41" s="383"/>
      <c r="B41" s="42"/>
      <c r="C41" s="43"/>
      <c r="D41" s="115"/>
      <c r="E41" s="71"/>
      <c r="F41" s="71"/>
      <c r="G41" s="71"/>
    </row>
    <row r="42" spans="1:7" ht="15.75" x14ac:dyDescent="0.25">
      <c r="A42" s="383"/>
      <c r="B42" s="42"/>
      <c r="C42" s="43"/>
      <c r="D42" s="115"/>
      <c r="E42" s="71"/>
      <c r="F42" s="71"/>
      <c r="G42" s="71"/>
    </row>
    <row r="43" spans="1:7" ht="15.75" x14ac:dyDescent="0.25">
      <c r="A43" s="383"/>
      <c r="B43" s="42"/>
      <c r="C43" s="43"/>
      <c r="D43" s="115"/>
      <c r="E43" s="71"/>
      <c r="F43" s="71"/>
      <c r="G43" s="71"/>
    </row>
    <row r="44" spans="1:7" ht="15.75" x14ac:dyDescent="0.25">
      <c r="A44" s="383"/>
      <c r="B44" s="42"/>
      <c r="C44" s="43"/>
      <c r="D44" s="115"/>
      <c r="E44" s="71"/>
      <c r="F44" s="71"/>
      <c r="G44" s="71"/>
    </row>
    <row r="45" spans="1:7" ht="15.75" x14ac:dyDescent="0.25">
      <c r="A45" s="383"/>
      <c r="B45" s="42"/>
      <c r="C45" s="43"/>
      <c r="D45" s="115"/>
      <c r="E45" s="71"/>
      <c r="F45" s="71"/>
      <c r="G45" s="71"/>
    </row>
    <row r="46" spans="1:7" ht="15.75" x14ac:dyDescent="0.25">
      <c r="A46" s="383"/>
      <c r="B46" s="42"/>
      <c r="C46" s="43"/>
      <c r="D46" s="115"/>
      <c r="E46" s="71"/>
      <c r="F46" s="71"/>
      <c r="G46" s="71"/>
    </row>
    <row r="47" spans="1:7" ht="15.75" x14ac:dyDescent="0.25">
      <c r="A47" s="383"/>
      <c r="B47" s="42"/>
      <c r="C47" s="43"/>
      <c r="D47" s="115"/>
      <c r="E47" s="71"/>
      <c r="F47" s="71"/>
      <c r="G47" s="71"/>
    </row>
    <row r="48" spans="1:7" ht="15.75" x14ac:dyDescent="0.25">
      <c r="A48" s="383"/>
      <c r="B48" s="42"/>
      <c r="C48" s="43"/>
      <c r="D48" s="115"/>
      <c r="E48" s="71"/>
      <c r="F48" s="71"/>
      <c r="G48" s="71"/>
    </row>
    <row r="49" spans="1:7" ht="15.75" x14ac:dyDescent="0.25">
      <c r="A49" s="383"/>
      <c r="B49" s="42"/>
      <c r="C49" s="43"/>
      <c r="D49" s="115"/>
      <c r="E49" s="71"/>
      <c r="F49" s="71"/>
      <c r="G49" s="71"/>
    </row>
    <row r="50" spans="1:7" ht="15.75" x14ac:dyDescent="0.25">
      <c r="A50" s="383"/>
      <c r="B50" s="42"/>
      <c r="C50" s="43"/>
      <c r="D50" s="115"/>
      <c r="E50" s="71"/>
      <c r="F50" s="71"/>
      <c r="G50" s="71"/>
    </row>
    <row r="51" spans="1:7" ht="15.75" x14ac:dyDescent="0.25">
      <c r="A51" s="383"/>
      <c r="B51" s="42"/>
      <c r="C51" s="43"/>
      <c r="D51" s="115"/>
      <c r="E51" s="71"/>
      <c r="F51" s="71"/>
      <c r="G51" s="71"/>
    </row>
    <row r="52" spans="1:7" ht="15.75" x14ac:dyDescent="0.25">
      <c r="A52" s="383"/>
      <c r="B52" s="42"/>
      <c r="C52" s="43"/>
      <c r="D52" s="115"/>
      <c r="E52" s="71"/>
      <c r="F52" s="71"/>
      <c r="G52" s="71"/>
    </row>
    <row r="53" spans="1:7" ht="15.75" x14ac:dyDescent="0.25">
      <c r="A53" s="383"/>
      <c r="B53" s="42"/>
      <c r="C53" s="43"/>
      <c r="D53" s="115"/>
      <c r="E53" s="71"/>
      <c r="F53" s="71"/>
      <c r="G53" s="71"/>
    </row>
    <row r="54" spans="1:7" ht="15.75" x14ac:dyDescent="0.25">
      <c r="A54" s="383"/>
      <c r="B54" s="42"/>
      <c r="C54" s="43"/>
      <c r="D54" s="115"/>
      <c r="E54" s="71"/>
      <c r="F54" s="71"/>
      <c r="G54" s="71"/>
    </row>
    <row r="55" spans="1:7" ht="15.75" x14ac:dyDescent="0.25">
      <c r="A55" s="383"/>
      <c r="B55" s="42"/>
      <c r="C55" s="43"/>
      <c r="D55" s="115"/>
      <c r="E55" s="71"/>
      <c r="F55" s="71"/>
      <c r="G55" s="71"/>
    </row>
    <row r="56" spans="1:7" ht="15" customHeight="1" x14ac:dyDescent="0.25">
      <c r="A56" s="383"/>
      <c r="B56" s="42"/>
      <c r="C56" s="43"/>
      <c r="D56" s="115"/>
      <c r="E56" s="71"/>
      <c r="F56" s="71"/>
      <c r="G56" s="71"/>
    </row>
    <row r="57" spans="1:7" ht="15.75" customHeight="1" thickBot="1" x14ac:dyDescent="0.3">
      <c r="A57" s="384"/>
      <c r="B57" s="42"/>
      <c r="C57" s="62"/>
      <c r="D57" s="115"/>
      <c r="E57" s="71"/>
      <c r="F57" s="71"/>
      <c r="G57" s="71"/>
    </row>
    <row r="58" spans="1:7" ht="16.5" thickBot="1" x14ac:dyDescent="0.3">
      <c r="A58" s="122" t="s">
        <v>62</v>
      </c>
      <c r="B58" s="123"/>
      <c r="C58" s="124">
        <f>+C7+C22+C31+C8</f>
        <v>5257</v>
      </c>
      <c r="D58" s="126">
        <f>SUM(D7:D57)</f>
        <v>18217</v>
      </c>
      <c r="E58" s="93">
        <f>SUM(E7:E57)</f>
        <v>22217</v>
      </c>
      <c r="F58" s="93">
        <f>SUM(F7:F57)</f>
        <v>22217</v>
      </c>
      <c r="G58" s="93">
        <f>SUM(G7:G57)</f>
        <v>22217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4"/>
  <sheetViews>
    <sheetView zoomScaleNormal="100" workbookViewId="0">
      <pane ySplit="6" topLeftCell="A43" activePane="bottomLeft" state="frozen"/>
      <selection pane="bottomLeft" activeCell="A45" sqref="A45:XFD48"/>
    </sheetView>
  </sheetViews>
  <sheetFormatPr baseColWidth="10" defaultColWidth="9.85546875" defaultRowHeight="12.75" x14ac:dyDescent="0.2"/>
  <cols>
    <col min="1" max="1" width="43.4257812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6.75" customHeight="1" x14ac:dyDescent="0.2">
      <c r="G1" s="5"/>
    </row>
    <row r="2" spans="1:7" ht="26.25" thickBot="1" x14ac:dyDescent="0.4">
      <c r="A2" s="97" t="s">
        <v>215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139">
        <v>360379</v>
      </c>
      <c r="D7" s="140">
        <f>+C64</f>
        <v>370595</v>
      </c>
      <c r="E7" s="109">
        <f>+D7</f>
        <v>370595</v>
      </c>
      <c r="F7" s="109">
        <f>+D7</f>
        <v>370595</v>
      </c>
      <c r="G7" s="109">
        <f>+D7</f>
        <v>370595</v>
      </c>
    </row>
    <row r="8" spans="1:7" ht="15.75" x14ac:dyDescent="0.25">
      <c r="A8" s="78" t="s">
        <v>354</v>
      </c>
      <c r="B8" s="105"/>
      <c r="C8" s="110">
        <v>-1761</v>
      </c>
      <c r="D8" s="111">
        <f>-C61</f>
        <v>0</v>
      </c>
      <c r="E8" s="40">
        <f>-C61</f>
        <v>0</v>
      </c>
      <c r="F8" s="40">
        <f>-C61</f>
        <v>0</v>
      </c>
      <c r="G8" s="40">
        <f>-C61</f>
        <v>0</v>
      </c>
    </row>
    <row r="9" spans="1:7" ht="15.75" x14ac:dyDescent="0.25">
      <c r="A9" s="36"/>
      <c r="B9" s="55"/>
      <c r="C9" s="43"/>
      <c r="D9" s="142"/>
      <c r="E9" s="65"/>
      <c r="F9" s="65"/>
      <c r="G9" s="65"/>
    </row>
    <row r="10" spans="1:7" ht="15.75" x14ac:dyDescent="0.25">
      <c r="A10" s="36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69" t="s">
        <v>160</v>
      </c>
      <c r="B11" s="42" t="s">
        <v>109</v>
      </c>
      <c r="C11" s="43">
        <v>14619</v>
      </c>
      <c r="D11" s="111">
        <v>1946</v>
      </c>
      <c r="E11" s="71">
        <v>1946</v>
      </c>
      <c r="F11" s="71">
        <v>1946</v>
      </c>
      <c r="G11" s="71">
        <v>1946</v>
      </c>
    </row>
    <row r="12" spans="1:7" ht="15.75" x14ac:dyDescent="0.25">
      <c r="A12" s="69" t="s">
        <v>9</v>
      </c>
      <c r="B12" s="42">
        <v>2100</v>
      </c>
      <c r="C12" s="43">
        <v>300</v>
      </c>
      <c r="D12" s="111"/>
      <c r="E12" s="71"/>
      <c r="F12" s="71"/>
      <c r="G12" s="71"/>
    </row>
    <row r="13" spans="1:7" ht="15.75" x14ac:dyDescent="0.25">
      <c r="A13" s="69" t="s">
        <v>172</v>
      </c>
      <c r="B13" s="42">
        <v>2501</v>
      </c>
      <c r="C13" s="43">
        <v>5000</v>
      </c>
      <c r="D13" s="420">
        <v>4600</v>
      </c>
      <c r="E13" s="71"/>
      <c r="F13" s="71"/>
      <c r="G13" s="71"/>
    </row>
    <row r="14" spans="1:7" ht="15.75" x14ac:dyDescent="0.25">
      <c r="A14" s="69" t="s">
        <v>350</v>
      </c>
      <c r="B14" s="42">
        <v>2723</v>
      </c>
      <c r="C14" s="43">
        <v>1000</v>
      </c>
      <c r="D14" s="111"/>
      <c r="E14" s="71"/>
      <c r="F14" s="71"/>
      <c r="G14" s="71"/>
    </row>
    <row r="15" spans="1:7" ht="15.75" x14ac:dyDescent="0.25">
      <c r="A15" s="69" t="s">
        <v>110</v>
      </c>
      <c r="B15" s="42">
        <v>2722</v>
      </c>
      <c r="C15" s="43">
        <v>-200</v>
      </c>
      <c r="D15" s="111"/>
      <c r="E15" s="71"/>
      <c r="F15" s="71"/>
      <c r="G15" s="71"/>
    </row>
    <row r="16" spans="1:7" ht="15.75" x14ac:dyDescent="0.25">
      <c r="A16" s="69" t="s">
        <v>343</v>
      </c>
      <c r="B16" s="42">
        <v>2105</v>
      </c>
      <c r="C16" s="43">
        <v>115</v>
      </c>
      <c r="D16" s="111"/>
      <c r="E16" s="71"/>
      <c r="F16" s="71"/>
      <c r="G16" s="71"/>
    </row>
    <row r="17" spans="1:7" ht="15.75" x14ac:dyDescent="0.25">
      <c r="A17" s="69" t="s">
        <v>319</v>
      </c>
      <c r="B17" s="42">
        <v>2723</v>
      </c>
      <c r="C17" s="43">
        <v>1000</v>
      </c>
      <c r="D17" s="111"/>
      <c r="E17" s="71"/>
      <c r="F17" s="71"/>
      <c r="G17" s="71"/>
    </row>
    <row r="18" spans="1:7" ht="15.75" x14ac:dyDescent="0.25">
      <c r="A18" s="69" t="s">
        <v>236</v>
      </c>
      <c r="B18" s="42">
        <v>2103</v>
      </c>
      <c r="C18" s="43">
        <v>300</v>
      </c>
      <c r="D18" s="111">
        <v>300</v>
      </c>
      <c r="E18" s="71">
        <v>300</v>
      </c>
      <c r="F18" s="71">
        <v>300</v>
      </c>
      <c r="G18" s="71">
        <v>300</v>
      </c>
    </row>
    <row r="19" spans="1:7" s="198" customFormat="1" ht="15.75" x14ac:dyDescent="0.25">
      <c r="A19" s="69" t="s">
        <v>185</v>
      </c>
      <c r="B19" s="42">
        <v>2101</v>
      </c>
      <c r="C19" s="43">
        <v>500</v>
      </c>
      <c r="D19" s="111"/>
      <c r="E19" s="71"/>
      <c r="F19" s="71"/>
      <c r="G19" s="71"/>
    </row>
    <row r="20" spans="1:7" s="198" customFormat="1" ht="15.75" x14ac:dyDescent="0.25">
      <c r="A20" s="114" t="s">
        <v>208</v>
      </c>
      <c r="B20" s="61">
        <v>2100</v>
      </c>
      <c r="C20" s="62">
        <v>-4735</v>
      </c>
      <c r="D20" s="362"/>
      <c r="E20" s="71"/>
      <c r="F20" s="71"/>
      <c r="G20" s="71"/>
    </row>
    <row r="21" spans="1:7" s="198" customFormat="1" ht="15.75" x14ac:dyDescent="0.25">
      <c r="A21" s="114" t="s">
        <v>333</v>
      </c>
      <c r="B21" s="61">
        <v>2570</v>
      </c>
      <c r="C21" s="62">
        <v>-60</v>
      </c>
      <c r="D21" s="362">
        <v>-80</v>
      </c>
      <c r="E21" s="71">
        <v>-80</v>
      </c>
      <c r="F21" s="71">
        <v>-80</v>
      </c>
      <c r="G21" s="71">
        <v>-80</v>
      </c>
    </row>
    <row r="22" spans="1:7" s="198" customFormat="1" ht="15.75" x14ac:dyDescent="0.25">
      <c r="A22" s="114" t="s">
        <v>252</v>
      </c>
      <c r="B22" s="61">
        <v>2540</v>
      </c>
      <c r="C22" s="62">
        <v>-75</v>
      </c>
      <c r="D22" s="362">
        <v>-125</v>
      </c>
      <c r="E22" s="71">
        <v>-125</v>
      </c>
      <c r="F22" s="71">
        <v>-125</v>
      </c>
      <c r="G22" s="71">
        <v>-125</v>
      </c>
    </row>
    <row r="23" spans="1:7" s="198" customFormat="1" ht="15.75" x14ac:dyDescent="0.25">
      <c r="A23" s="114" t="s">
        <v>273</v>
      </c>
      <c r="B23" s="61">
        <v>2821</v>
      </c>
      <c r="C23" s="62">
        <v>-75</v>
      </c>
      <c r="D23" s="362"/>
      <c r="E23" s="71"/>
      <c r="F23" s="71"/>
      <c r="G23" s="71"/>
    </row>
    <row r="24" spans="1:7" s="198" customFormat="1" ht="15.75" x14ac:dyDescent="0.25">
      <c r="A24" s="114" t="s">
        <v>253</v>
      </c>
      <c r="B24" s="61">
        <v>2200</v>
      </c>
      <c r="C24" s="62">
        <v>-1600</v>
      </c>
      <c r="D24" s="362">
        <v>-2400</v>
      </c>
      <c r="E24" s="71">
        <v>-2400</v>
      </c>
      <c r="F24" s="71">
        <v>-2400</v>
      </c>
      <c r="G24" s="71">
        <v>-2400</v>
      </c>
    </row>
    <row r="25" spans="1:7" s="198" customFormat="1" ht="15.75" x14ac:dyDescent="0.25">
      <c r="A25" s="114" t="s">
        <v>280</v>
      </c>
      <c r="B25" s="61">
        <v>2101</v>
      </c>
      <c r="C25" s="62">
        <v>-400</v>
      </c>
      <c r="D25" s="362"/>
      <c r="E25" s="71"/>
      <c r="F25" s="71"/>
      <c r="G25" s="71"/>
    </row>
    <row r="26" spans="1:7" s="198" customFormat="1" ht="15.75" x14ac:dyDescent="0.25">
      <c r="A26" s="114" t="s">
        <v>325</v>
      </c>
      <c r="B26" s="61">
        <v>2310</v>
      </c>
      <c r="C26" s="62">
        <v>-30</v>
      </c>
      <c r="D26" s="362"/>
      <c r="E26" s="71"/>
      <c r="F26" s="71"/>
      <c r="G26" s="71"/>
    </row>
    <row r="27" spans="1:7" s="198" customFormat="1" ht="15.75" x14ac:dyDescent="0.25">
      <c r="A27" s="114" t="s">
        <v>329</v>
      </c>
      <c r="B27" s="61">
        <v>2310</v>
      </c>
      <c r="C27" s="62">
        <v>-200</v>
      </c>
      <c r="D27" s="362"/>
      <c r="E27" s="71"/>
      <c r="F27" s="71"/>
      <c r="G27" s="71"/>
    </row>
    <row r="28" spans="1:7" s="198" customFormat="1" ht="15.75" x14ac:dyDescent="0.25">
      <c r="A28" s="114" t="s">
        <v>279</v>
      </c>
      <c r="B28" s="61">
        <v>2105</v>
      </c>
      <c r="C28" s="62">
        <v>-400</v>
      </c>
      <c r="D28" s="362">
        <v>-130</v>
      </c>
      <c r="E28" s="71">
        <v>-130</v>
      </c>
      <c r="F28" s="71">
        <v>-130</v>
      </c>
      <c r="G28" s="71">
        <v>-130</v>
      </c>
    </row>
    <row r="29" spans="1:7" s="198" customFormat="1" ht="15.75" x14ac:dyDescent="0.25">
      <c r="A29" s="114" t="s">
        <v>326</v>
      </c>
      <c r="B29" s="61">
        <v>2831</v>
      </c>
      <c r="C29" s="62">
        <v>0</v>
      </c>
      <c r="D29" s="362">
        <v>400</v>
      </c>
      <c r="E29" s="71">
        <v>400</v>
      </c>
      <c r="F29" s="71">
        <v>400</v>
      </c>
      <c r="G29" s="71">
        <v>400</v>
      </c>
    </row>
    <row r="30" spans="1:7" s="198" customFormat="1" ht="15.75" x14ac:dyDescent="0.25">
      <c r="A30" s="379" t="s">
        <v>207</v>
      </c>
      <c r="B30" s="42" t="s">
        <v>430</v>
      </c>
      <c r="C30" s="62">
        <v>-235</v>
      </c>
      <c r="D30" s="362"/>
      <c r="E30" s="71"/>
      <c r="F30" s="71"/>
      <c r="G30" s="71"/>
    </row>
    <row r="31" spans="1:7" s="198" customFormat="1" ht="15.75" x14ac:dyDescent="0.25">
      <c r="A31" s="379" t="s">
        <v>334</v>
      </c>
      <c r="B31" s="42" t="s">
        <v>430</v>
      </c>
      <c r="C31" s="62">
        <v>-30</v>
      </c>
      <c r="D31" s="362"/>
      <c r="E31" s="71"/>
      <c r="F31" s="71"/>
      <c r="G31" s="71"/>
    </row>
    <row r="32" spans="1:7" s="198" customFormat="1" ht="15.75" x14ac:dyDescent="0.25">
      <c r="A32" s="114" t="s">
        <v>254</v>
      </c>
      <c r="B32" s="61">
        <v>2200</v>
      </c>
      <c r="C32" s="62">
        <v>-3000</v>
      </c>
      <c r="D32" s="362">
        <v>-4000</v>
      </c>
      <c r="E32" s="71">
        <v>-4000</v>
      </c>
      <c r="F32" s="71">
        <v>-4000</v>
      </c>
      <c r="G32" s="71">
        <v>-4000</v>
      </c>
    </row>
    <row r="33" spans="1:7" s="198" customFormat="1" ht="15.75" x14ac:dyDescent="0.25">
      <c r="A33" s="114" t="s">
        <v>335</v>
      </c>
      <c r="B33" s="61">
        <v>2500</v>
      </c>
      <c r="C33" s="62">
        <v>600</v>
      </c>
      <c r="D33" s="362"/>
      <c r="E33" s="71"/>
      <c r="F33" s="71"/>
      <c r="G33" s="71"/>
    </row>
    <row r="34" spans="1:7" s="198" customFormat="1" ht="15.75" x14ac:dyDescent="0.25">
      <c r="A34" s="114" t="s">
        <v>261</v>
      </c>
      <c r="B34" s="61">
        <v>2200</v>
      </c>
      <c r="C34" s="62">
        <v>279</v>
      </c>
      <c r="D34" s="362"/>
      <c r="E34" s="71"/>
      <c r="F34" s="71"/>
      <c r="G34" s="71"/>
    </row>
    <row r="35" spans="1:7" s="198" customFormat="1" ht="15.75" x14ac:dyDescent="0.25">
      <c r="A35" s="114" t="s">
        <v>262</v>
      </c>
      <c r="B35" s="61">
        <v>2721</v>
      </c>
      <c r="C35" s="62">
        <v>467</v>
      </c>
      <c r="D35" s="362"/>
      <c r="E35" s="71"/>
      <c r="F35" s="71"/>
      <c r="G35" s="71"/>
    </row>
    <row r="36" spans="1:7" s="198" customFormat="1" ht="15.75" x14ac:dyDescent="0.25">
      <c r="A36" s="114" t="s">
        <v>263</v>
      </c>
      <c r="B36" s="61">
        <v>2500</v>
      </c>
      <c r="C36" s="62">
        <v>-584</v>
      </c>
      <c r="D36" s="362"/>
      <c r="E36" s="71"/>
      <c r="F36" s="71"/>
      <c r="G36" s="71"/>
    </row>
    <row r="37" spans="1:7" s="198" customFormat="1" ht="15.75" x14ac:dyDescent="0.25">
      <c r="A37" s="114" t="s">
        <v>264</v>
      </c>
      <c r="B37" s="61">
        <v>2500</v>
      </c>
      <c r="C37" s="62">
        <v>566</v>
      </c>
      <c r="D37" s="362"/>
      <c r="E37" s="71"/>
      <c r="F37" s="71"/>
      <c r="G37" s="71"/>
    </row>
    <row r="38" spans="1:7" s="198" customFormat="1" ht="15.75" x14ac:dyDescent="0.25">
      <c r="A38" s="114" t="s">
        <v>278</v>
      </c>
      <c r="B38" s="61">
        <v>2230</v>
      </c>
      <c r="C38" s="62">
        <v>1200</v>
      </c>
      <c r="D38" s="111"/>
      <c r="E38" s="71"/>
      <c r="F38" s="71"/>
      <c r="G38" s="71"/>
    </row>
    <row r="39" spans="1:7" s="198" customFormat="1" ht="15.75" x14ac:dyDescent="0.25">
      <c r="A39" s="114" t="s">
        <v>316</v>
      </c>
      <c r="B39" s="61">
        <v>2200</v>
      </c>
      <c r="C39" s="62">
        <v>630</v>
      </c>
      <c r="D39" s="111">
        <v>890</v>
      </c>
      <c r="E39" s="71">
        <v>890</v>
      </c>
      <c r="F39" s="71">
        <v>890</v>
      </c>
      <c r="G39" s="71">
        <v>890</v>
      </c>
    </row>
    <row r="40" spans="1:7" s="198" customFormat="1" ht="15.75" x14ac:dyDescent="0.25">
      <c r="A40" s="114" t="s">
        <v>320</v>
      </c>
      <c r="B40" s="61">
        <v>2220</v>
      </c>
      <c r="C40" s="62">
        <v>520</v>
      </c>
      <c r="D40" s="111">
        <v>720</v>
      </c>
      <c r="E40" s="71">
        <v>720</v>
      </c>
      <c r="F40" s="71">
        <v>720</v>
      </c>
      <c r="G40" s="71">
        <v>720</v>
      </c>
    </row>
    <row r="41" spans="1:7" s="198" customFormat="1" ht="15.75" x14ac:dyDescent="0.25">
      <c r="A41" s="114" t="s">
        <v>317</v>
      </c>
      <c r="B41" s="61">
        <v>2220</v>
      </c>
      <c r="C41" s="62">
        <v>280</v>
      </c>
      <c r="D41" s="111">
        <v>380</v>
      </c>
      <c r="E41" s="71">
        <v>380</v>
      </c>
      <c r="F41" s="71">
        <v>380</v>
      </c>
      <c r="G41" s="71">
        <v>380</v>
      </c>
    </row>
    <row r="42" spans="1:7" s="198" customFormat="1" ht="15.75" x14ac:dyDescent="0.25">
      <c r="A42" s="114" t="s">
        <v>217</v>
      </c>
      <c r="B42" s="61" t="s">
        <v>108</v>
      </c>
      <c r="C42" s="62">
        <v>-500</v>
      </c>
      <c r="D42" s="111"/>
      <c r="E42" s="71"/>
      <c r="F42" s="71"/>
      <c r="G42" s="71"/>
    </row>
    <row r="43" spans="1:7" s="198" customFormat="1" ht="15.75" x14ac:dyDescent="0.25">
      <c r="A43" s="324" t="s">
        <v>232</v>
      </c>
      <c r="B43" s="61" t="s">
        <v>109</v>
      </c>
      <c r="C43" s="62">
        <v>-3400</v>
      </c>
      <c r="D43" s="111"/>
      <c r="E43" s="71"/>
      <c r="F43" s="71"/>
      <c r="G43" s="71"/>
    </row>
    <row r="44" spans="1:7" s="198" customFormat="1" ht="15.75" x14ac:dyDescent="0.25">
      <c r="A44" s="399" t="s">
        <v>244</v>
      </c>
      <c r="B44" s="61">
        <v>2200</v>
      </c>
      <c r="C44" s="62">
        <v>225</v>
      </c>
      <c r="D44" s="111"/>
      <c r="E44" s="71"/>
      <c r="F44" s="71"/>
      <c r="G44" s="71"/>
    </row>
    <row r="45" spans="1:7" s="198" customFormat="1" ht="15.75" x14ac:dyDescent="0.25">
      <c r="A45" s="324" t="s">
        <v>435</v>
      </c>
      <c r="B45" s="42">
        <v>2230</v>
      </c>
      <c r="C45" s="332"/>
      <c r="D45" s="420">
        <v>300</v>
      </c>
      <c r="E45" s="408">
        <v>690</v>
      </c>
      <c r="F45" s="408">
        <v>690</v>
      </c>
      <c r="G45" s="408">
        <v>690</v>
      </c>
    </row>
    <row r="46" spans="1:7" s="198" customFormat="1" ht="15.75" x14ac:dyDescent="0.25">
      <c r="A46" s="324" t="s">
        <v>404</v>
      </c>
      <c r="B46" s="42">
        <v>2234</v>
      </c>
      <c r="C46" s="332"/>
      <c r="D46" s="420">
        <v>150</v>
      </c>
      <c r="E46" s="408">
        <v>345</v>
      </c>
      <c r="F46" s="408">
        <v>345</v>
      </c>
      <c r="G46" s="408">
        <v>345</v>
      </c>
    </row>
    <row r="47" spans="1:7" s="198" customFormat="1" ht="15.75" x14ac:dyDescent="0.25">
      <c r="A47" s="324" t="s">
        <v>405</v>
      </c>
      <c r="B47" s="42">
        <v>2410</v>
      </c>
      <c r="C47" s="332"/>
      <c r="D47" s="420">
        <v>500</v>
      </c>
      <c r="E47" s="408">
        <v>500</v>
      </c>
      <c r="F47" s="408">
        <v>500</v>
      </c>
      <c r="G47" s="408">
        <v>500</v>
      </c>
    </row>
    <row r="48" spans="1:7" s="198" customFormat="1" ht="15.75" x14ac:dyDescent="0.25">
      <c r="A48" s="324" t="s">
        <v>437</v>
      </c>
      <c r="B48" s="42">
        <v>2410</v>
      </c>
      <c r="C48" s="332"/>
      <c r="D48" s="420">
        <v>693</v>
      </c>
      <c r="E48" s="408">
        <v>693</v>
      </c>
      <c r="F48" s="408">
        <v>693</v>
      </c>
      <c r="G48" s="408">
        <v>693</v>
      </c>
    </row>
    <row r="49" spans="1:7" s="198" customFormat="1" ht="15.75" x14ac:dyDescent="0.25">
      <c r="A49" s="324" t="s">
        <v>406</v>
      </c>
      <c r="B49" s="42">
        <v>2721</v>
      </c>
      <c r="C49" s="332"/>
      <c r="D49" s="420">
        <v>1300</v>
      </c>
      <c r="E49" s="408">
        <v>1300</v>
      </c>
      <c r="F49" s="408">
        <v>1300</v>
      </c>
      <c r="G49" s="408">
        <v>1300</v>
      </c>
    </row>
    <row r="50" spans="1:7" s="198" customFormat="1" ht="15.75" x14ac:dyDescent="0.25">
      <c r="A50" s="324" t="s">
        <v>436</v>
      </c>
      <c r="B50" s="42">
        <v>2200</v>
      </c>
      <c r="C50" s="332"/>
      <c r="D50" s="420">
        <v>300</v>
      </c>
      <c r="E50" s="408">
        <v>690</v>
      </c>
      <c r="F50" s="408">
        <v>690</v>
      </c>
      <c r="G50" s="408">
        <v>690</v>
      </c>
    </row>
    <row r="51" spans="1:7" s="198" customFormat="1" ht="15.75" x14ac:dyDescent="0.25">
      <c r="A51" s="324" t="s">
        <v>401</v>
      </c>
      <c r="B51" s="42">
        <v>2200</v>
      </c>
      <c r="C51" s="332"/>
      <c r="D51" s="420">
        <v>219</v>
      </c>
      <c r="E51" s="408">
        <v>219</v>
      </c>
      <c r="F51" s="408">
        <v>219</v>
      </c>
      <c r="G51" s="408">
        <v>219</v>
      </c>
    </row>
    <row r="52" spans="1:7" s="198" customFormat="1" ht="15.75" x14ac:dyDescent="0.25">
      <c r="A52" s="324" t="s">
        <v>402</v>
      </c>
      <c r="B52" s="42">
        <v>2500</v>
      </c>
      <c r="C52" s="332"/>
      <c r="D52" s="420">
        <v>452</v>
      </c>
      <c r="E52" s="408">
        <v>452</v>
      </c>
      <c r="F52" s="408">
        <v>452</v>
      </c>
      <c r="G52" s="408">
        <v>452</v>
      </c>
    </row>
    <row r="53" spans="1:7" s="198" customFormat="1" ht="15.75" x14ac:dyDescent="0.25">
      <c r="A53" s="324" t="s">
        <v>403</v>
      </c>
      <c r="B53" s="42">
        <v>2500</v>
      </c>
      <c r="C53" s="332"/>
      <c r="D53" s="420">
        <v>152</v>
      </c>
      <c r="E53" s="408">
        <v>152</v>
      </c>
      <c r="F53" s="408">
        <v>152</v>
      </c>
      <c r="G53" s="408">
        <v>152</v>
      </c>
    </row>
    <row r="54" spans="1:7" s="198" customFormat="1" ht="15.75" x14ac:dyDescent="0.25">
      <c r="A54" s="324" t="s">
        <v>398</v>
      </c>
      <c r="B54" s="42" t="s">
        <v>430</v>
      </c>
      <c r="C54" s="332"/>
      <c r="D54" s="420">
        <f>1700+540</f>
        <v>2240</v>
      </c>
      <c r="E54" s="408">
        <f>+D54</f>
        <v>2240</v>
      </c>
      <c r="F54" s="408">
        <f>+E54</f>
        <v>2240</v>
      </c>
      <c r="G54" s="408">
        <f>+F54-40</f>
        <v>2200</v>
      </c>
    </row>
    <row r="55" spans="1:7" s="198" customFormat="1" ht="15.75" x14ac:dyDescent="0.25">
      <c r="A55" s="427" t="s">
        <v>422</v>
      </c>
      <c r="B55" s="42">
        <v>2103</v>
      </c>
      <c r="C55" s="428"/>
      <c r="D55" s="430">
        <f>-2000+150</f>
        <v>-1850</v>
      </c>
      <c r="E55" s="431">
        <f>-4500+2000</f>
        <v>-2500</v>
      </c>
      <c r="F55" s="431">
        <f>-4500+1000</f>
        <v>-3500</v>
      </c>
      <c r="G55" s="431">
        <f>-4500+1000</f>
        <v>-3500</v>
      </c>
    </row>
    <row r="56" spans="1:7" s="198" customFormat="1" ht="15.75" x14ac:dyDescent="0.25">
      <c r="A56" s="427" t="s">
        <v>444</v>
      </c>
      <c r="B56" s="42"/>
      <c r="C56" s="428"/>
      <c r="D56" s="430">
        <v>50</v>
      </c>
      <c r="E56" s="431">
        <v>50</v>
      </c>
      <c r="F56" s="431">
        <v>50</v>
      </c>
      <c r="G56" s="431">
        <v>50</v>
      </c>
    </row>
    <row r="57" spans="1:7" s="198" customFormat="1" ht="15.75" x14ac:dyDescent="0.25">
      <c r="A57" s="69" t="s">
        <v>324</v>
      </c>
      <c r="B57" s="42" t="s">
        <v>210</v>
      </c>
      <c r="C57" s="86">
        <v>-100</v>
      </c>
      <c r="D57" s="111">
        <v>100</v>
      </c>
      <c r="E57" s="71">
        <v>100</v>
      </c>
      <c r="F57" s="71">
        <v>100</v>
      </c>
      <c r="G57" s="71">
        <v>100</v>
      </c>
    </row>
    <row r="58" spans="1:7" ht="16.5" thickBot="1" x14ac:dyDescent="0.3">
      <c r="A58" s="128" t="s">
        <v>59</v>
      </c>
      <c r="B58" s="42"/>
      <c r="C58" s="116">
        <f>SUM(C10:C57)</f>
        <v>11977</v>
      </c>
      <c r="D58" s="111"/>
      <c r="E58" s="71"/>
      <c r="F58" s="71"/>
      <c r="G58" s="71"/>
    </row>
    <row r="59" spans="1:7" ht="16.5" thickTop="1" x14ac:dyDescent="0.25">
      <c r="A59" s="81" t="s">
        <v>60</v>
      </c>
      <c r="B59" s="42"/>
      <c r="C59" s="43"/>
      <c r="D59" s="111"/>
      <c r="E59" s="71"/>
      <c r="F59" s="71"/>
      <c r="G59" s="71"/>
    </row>
    <row r="60" spans="1:7" ht="15.75" x14ac:dyDescent="0.25">
      <c r="A60" s="114" t="s">
        <v>318</v>
      </c>
      <c r="B60" s="42">
        <v>2501</v>
      </c>
      <c r="C60" s="332"/>
      <c r="D60" s="111">
        <v>-4600</v>
      </c>
      <c r="E60" s="71"/>
      <c r="F60" s="71"/>
      <c r="G60" s="71"/>
    </row>
    <row r="61" spans="1:7" ht="16.5" thickBot="1" x14ac:dyDescent="0.3">
      <c r="A61" s="81" t="s">
        <v>66</v>
      </c>
      <c r="B61" s="42"/>
      <c r="C61" s="116">
        <f>SUM(C59:C60)</f>
        <v>0</v>
      </c>
      <c r="D61" s="111"/>
      <c r="E61" s="71"/>
      <c r="F61" s="71"/>
      <c r="G61" s="71"/>
    </row>
    <row r="62" spans="1:7" ht="16.5" thickTop="1" x14ac:dyDescent="0.25">
      <c r="A62" s="81"/>
      <c r="B62" s="42"/>
      <c r="C62" s="161"/>
      <c r="D62" s="111"/>
      <c r="E62" s="71"/>
      <c r="F62" s="71"/>
      <c r="G62" s="71"/>
    </row>
    <row r="63" spans="1:7" ht="16.5" thickBot="1" x14ac:dyDescent="0.3">
      <c r="A63" s="81"/>
      <c r="B63" s="42"/>
      <c r="C63" s="332"/>
      <c r="D63" s="111"/>
      <c r="E63" s="71"/>
      <c r="F63" s="71"/>
      <c r="G63" s="71"/>
    </row>
    <row r="64" spans="1:7" ht="16.5" thickBot="1" x14ac:dyDescent="0.3">
      <c r="A64" s="89" t="s">
        <v>62</v>
      </c>
      <c r="B64" s="90"/>
      <c r="C64" s="91">
        <f>+C7+C58+C61+C8</f>
        <v>370595</v>
      </c>
      <c r="D64" s="126">
        <f>SUM(D7:D63)</f>
        <v>373102</v>
      </c>
      <c r="E64" s="93">
        <f>SUM(E7:E63)</f>
        <v>373427</v>
      </c>
      <c r="F64" s="93">
        <f>SUM(F7:F63)</f>
        <v>372427</v>
      </c>
      <c r="G64" s="93">
        <f>SUM(G7:G63)</f>
        <v>372387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6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9"/>
  <sheetViews>
    <sheetView workbookViewId="0">
      <pane ySplit="6" topLeftCell="A31" activePane="bottomLeft" state="frozen"/>
      <selection pane="bottomLeft" activeCell="F47" sqref="F47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213</v>
      </c>
      <c r="B2" s="98"/>
      <c r="C2" s="7"/>
      <c r="D2" s="7"/>
      <c r="E2" s="143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85"/>
      <c r="B4" s="14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86"/>
      <c r="B5" s="145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87" t="s">
        <v>25</v>
      </c>
      <c r="B6" s="146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377900</v>
      </c>
      <c r="D7" s="140">
        <f>+C59</f>
        <v>368857</v>
      </c>
      <c r="E7" s="109">
        <f>+D7</f>
        <v>368857</v>
      </c>
      <c r="F7" s="109">
        <f>+D7</f>
        <v>368857</v>
      </c>
      <c r="G7" s="109">
        <f>+D7</f>
        <v>368857</v>
      </c>
    </row>
    <row r="8" spans="1:7" ht="15.75" x14ac:dyDescent="0.25">
      <c r="A8" s="78" t="s">
        <v>354</v>
      </c>
      <c r="B8" s="105"/>
      <c r="C8" s="110">
        <v>-2145</v>
      </c>
      <c r="D8" s="111">
        <f>-C52</f>
        <v>-300</v>
      </c>
      <c r="E8" s="40">
        <f>-C52</f>
        <v>-300</v>
      </c>
      <c r="F8" s="40">
        <f>-C52</f>
        <v>-300</v>
      </c>
      <c r="G8" s="40">
        <f>-C52</f>
        <v>-300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388" t="s">
        <v>159</v>
      </c>
      <c r="B11" s="42" t="s">
        <v>109</v>
      </c>
      <c r="C11" s="43">
        <v>11110</v>
      </c>
      <c r="D11" s="111">
        <v>1793</v>
      </c>
      <c r="E11" s="71">
        <v>1793</v>
      </c>
      <c r="F11" s="71">
        <v>1793</v>
      </c>
      <c r="G11" s="71">
        <v>1793</v>
      </c>
    </row>
    <row r="12" spans="1:7" ht="15.75" x14ac:dyDescent="0.25">
      <c r="A12" s="388" t="s">
        <v>341</v>
      </c>
      <c r="B12" s="42">
        <v>3105</v>
      </c>
      <c r="C12" s="43">
        <f>318-318</f>
        <v>0</v>
      </c>
      <c r="D12" s="111"/>
      <c r="E12" s="71"/>
      <c r="F12" s="71"/>
      <c r="G12" s="71"/>
    </row>
    <row r="13" spans="1:7" ht="15.75" x14ac:dyDescent="0.25">
      <c r="A13" s="388" t="s">
        <v>269</v>
      </c>
      <c r="B13" s="42">
        <v>3311</v>
      </c>
      <c r="C13" s="43">
        <v>1000</v>
      </c>
      <c r="D13" s="111"/>
      <c r="E13" s="71"/>
      <c r="F13" s="71"/>
      <c r="G13" s="71"/>
    </row>
    <row r="14" spans="1:7" ht="15.75" x14ac:dyDescent="0.25">
      <c r="A14" s="388" t="s">
        <v>270</v>
      </c>
      <c r="B14" s="42" t="s">
        <v>322</v>
      </c>
      <c r="C14" s="43">
        <v>850</v>
      </c>
      <c r="D14" s="111"/>
      <c r="E14" s="71"/>
      <c r="F14" s="71"/>
      <c r="G14" s="71"/>
    </row>
    <row r="15" spans="1:7" ht="15.75" x14ac:dyDescent="0.25">
      <c r="A15" s="388" t="s">
        <v>272</v>
      </c>
      <c r="B15" s="42">
        <v>3305</v>
      </c>
      <c r="C15" s="43">
        <v>2200</v>
      </c>
      <c r="D15" s="111"/>
      <c r="E15" s="71"/>
      <c r="F15" s="71"/>
      <c r="G15" s="71"/>
    </row>
    <row r="16" spans="1:7" ht="15.75" x14ac:dyDescent="0.25">
      <c r="A16" s="388" t="s">
        <v>275</v>
      </c>
      <c r="B16" s="42" t="s">
        <v>109</v>
      </c>
      <c r="C16" s="43">
        <v>170</v>
      </c>
      <c r="D16" s="111"/>
      <c r="E16" s="71"/>
      <c r="F16" s="71"/>
      <c r="G16" s="71"/>
    </row>
    <row r="17" spans="1:7" ht="15.75" x14ac:dyDescent="0.25">
      <c r="A17" s="388" t="s">
        <v>276</v>
      </c>
      <c r="B17" s="42" t="s">
        <v>323</v>
      </c>
      <c r="C17" s="43">
        <v>350</v>
      </c>
      <c r="D17" s="111"/>
      <c r="E17" s="71"/>
      <c r="F17" s="71"/>
      <c r="G17" s="71"/>
    </row>
    <row r="18" spans="1:7" ht="15.75" x14ac:dyDescent="0.25">
      <c r="A18" s="388" t="s">
        <v>12</v>
      </c>
      <c r="B18" s="42">
        <v>3592</v>
      </c>
      <c r="C18" s="43">
        <v>-230</v>
      </c>
      <c r="D18" s="111"/>
      <c r="E18" s="71"/>
      <c r="F18" s="71"/>
      <c r="G18" s="71"/>
    </row>
    <row r="19" spans="1:7" ht="15.75" x14ac:dyDescent="0.25">
      <c r="A19" s="388" t="s">
        <v>208</v>
      </c>
      <c r="B19" s="42">
        <v>3100</v>
      </c>
      <c r="C19" s="43">
        <v>-5835</v>
      </c>
      <c r="D19" s="111"/>
      <c r="E19" s="71"/>
      <c r="F19" s="71"/>
      <c r="G19" s="71"/>
    </row>
    <row r="20" spans="1:7" ht="15.75" x14ac:dyDescent="0.25">
      <c r="A20" s="388" t="s">
        <v>58</v>
      </c>
      <c r="B20" s="42">
        <v>3100</v>
      </c>
      <c r="C20" s="43">
        <v>-300</v>
      </c>
      <c r="D20" s="111">
        <v>-1000</v>
      </c>
      <c r="E20" s="71">
        <v>-2000</v>
      </c>
      <c r="F20" s="71">
        <v>-3000</v>
      </c>
      <c r="G20" s="71">
        <v>-4000</v>
      </c>
    </row>
    <row r="21" spans="1:7" ht="15.75" x14ac:dyDescent="0.25">
      <c r="A21" s="388" t="s">
        <v>255</v>
      </c>
      <c r="B21" s="42">
        <v>3504</v>
      </c>
      <c r="C21" s="43">
        <v>-700</v>
      </c>
      <c r="D21" s="111"/>
      <c r="E21" s="71"/>
      <c r="F21" s="71"/>
      <c r="G21" s="71"/>
    </row>
    <row r="22" spans="1:7" ht="15.75" x14ac:dyDescent="0.25">
      <c r="A22" s="379" t="s">
        <v>207</v>
      </c>
      <c r="B22" s="42" t="s">
        <v>342</v>
      </c>
      <c r="C22" s="62">
        <v>-713</v>
      </c>
      <c r="D22" s="362"/>
      <c r="E22" s="71"/>
      <c r="F22" s="71"/>
      <c r="G22" s="71"/>
    </row>
    <row r="23" spans="1:7" ht="15.75" x14ac:dyDescent="0.25">
      <c r="A23" s="379" t="s">
        <v>334</v>
      </c>
      <c r="B23" s="42" t="s">
        <v>342</v>
      </c>
      <c r="C23" s="62">
        <v>-429</v>
      </c>
      <c r="D23" s="362"/>
      <c r="E23" s="71"/>
      <c r="F23" s="71"/>
      <c r="G23" s="71"/>
    </row>
    <row r="24" spans="1:7" ht="15.75" x14ac:dyDescent="0.25">
      <c r="A24" s="388" t="s">
        <v>256</v>
      </c>
      <c r="B24" s="42">
        <v>3613</v>
      </c>
      <c r="C24" s="43">
        <v>-1120</v>
      </c>
      <c r="D24" s="436">
        <v>320</v>
      </c>
      <c r="E24" s="437">
        <v>1120</v>
      </c>
      <c r="F24" s="71">
        <v>1120</v>
      </c>
      <c r="G24" s="71">
        <v>1120</v>
      </c>
    </row>
    <row r="25" spans="1:7" ht="15.75" x14ac:dyDescent="0.25">
      <c r="A25" s="388" t="s">
        <v>257</v>
      </c>
      <c r="B25" s="42">
        <v>3504</v>
      </c>
      <c r="C25" s="43">
        <v>-1120</v>
      </c>
      <c r="D25" s="111">
        <v>-560</v>
      </c>
      <c r="E25" s="71">
        <v>-560</v>
      </c>
      <c r="F25" s="71">
        <v>-560</v>
      </c>
      <c r="G25" s="71">
        <v>-560</v>
      </c>
    </row>
    <row r="26" spans="1:7" ht="15.75" x14ac:dyDescent="0.25">
      <c r="A26" s="388" t="s">
        <v>265</v>
      </c>
      <c r="B26" s="42">
        <v>3700</v>
      </c>
      <c r="C26" s="43">
        <v>44</v>
      </c>
      <c r="D26" s="111"/>
      <c r="E26" s="71"/>
      <c r="F26" s="71"/>
      <c r="G26" s="71"/>
    </row>
    <row r="27" spans="1:7" ht="15.75" x14ac:dyDescent="0.25">
      <c r="A27" s="388" t="s">
        <v>266</v>
      </c>
      <c r="B27" s="42">
        <v>3416</v>
      </c>
      <c r="C27" s="43">
        <v>850</v>
      </c>
      <c r="D27" s="111"/>
      <c r="E27" s="71"/>
      <c r="F27" s="71"/>
      <c r="G27" s="71"/>
    </row>
    <row r="28" spans="1:7" ht="15.75" x14ac:dyDescent="0.25">
      <c r="A28" s="388" t="s">
        <v>267</v>
      </c>
      <c r="B28" s="42">
        <v>3250</v>
      </c>
      <c r="C28" s="43">
        <v>884</v>
      </c>
      <c r="D28" s="111"/>
      <c r="E28" s="71"/>
      <c r="F28" s="71"/>
      <c r="G28" s="71"/>
    </row>
    <row r="29" spans="1:7" ht="15.75" x14ac:dyDescent="0.25">
      <c r="A29" s="388" t="s">
        <v>268</v>
      </c>
      <c r="B29" s="42">
        <v>3593</v>
      </c>
      <c r="C29" s="43">
        <v>290</v>
      </c>
      <c r="D29" s="111"/>
      <c r="E29" s="71"/>
      <c r="F29" s="71"/>
      <c r="G29" s="71"/>
    </row>
    <row r="30" spans="1:7" ht="15.75" x14ac:dyDescent="0.25">
      <c r="A30" s="324" t="s">
        <v>232</v>
      </c>
      <c r="B30" s="42" t="s">
        <v>109</v>
      </c>
      <c r="C30" s="43">
        <v>-130</v>
      </c>
      <c r="D30" s="111">
        <v>250</v>
      </c>
      <c r="E30" s="71">
        <v>250</v>
      </c>
      <c r="F30" s="71">
        <v>250</v>
      </c>
      <c r="G30" s="71">
        <v>250</v>
      </c>
    </row>
    <row r="31" spans="1:7" ht="15.75" x14ac:dyDescent="0.25">
      <c r="A31" s="389" t="s">
        <v>245</v>
      </c>
      <c r="B31" s="42">
        <v>3100</v>
      </c>
      <c r="C31" s="43">
        <v>225</v>
      </c>
      <c r="D31" s="111"/>
      <c r="E31" s="71"/>
      <c r="F31" s="71"/>
      <c r="G31" s="71"/>
    </row>
    <row r="32" spans="1:7" ht="15.75" x14ac:dyDescent="0.25">
      <c r="A32" s="390" t="s">
        <v>271</v>
      </c>
      <c r="B32" s="42" t="s">
        <v>109</v>
      </c>
      <c r="C32" s="43">
        <v>360</v>
      </c>
      <c r="D32" s="111"/>
      <c r="E32" s="71"/>
      <c r="F32" s="71"/>
      <c r="G32" s="71"/>
    </row>
    <row r="33" spans="1:7" ht="15.75" x14ac:dyDescent="0.25">
      <c r="A33" s="390" t="s">
        <v>186</v>
      </c>
      <c r="B33" s="42" t="s">
        <v>109</v>
      </c>
      <c r="C33" s="43">
        <v>-5</v>
      </c>
      <c r="D33" s="111">
        <v>-5</v>
      </c>
      <c r="E33" s="71">
        <v>-10</v>
      </c>
      <c r="F33" s="71">
        <v>-15</v>
      </c>
      <c r="G33" s="71">
        <v>-20</v>
      </c>
    </row>
    <row r="34" spans="1:7" ht="15.75" x14ac:dyDescent="0.25">
      <c r="A34" s="390" t="s">
        <v>433</v>
      </c>
      <c r="B34" s="42">
        <v>3100</v>
      </c>
      <c r="C34" s="43"/>
      <c r="D34" s="420">
        <v>1000</v>
      </c>
      <c r="E34" s="408">
        <v>1000</v>
      </c>
      <c r="F34" s="408">
        <v>1000</v>
      </c>
      <c r="G34" s="408">
        <v>1000</v>
      </c>
    </row>
    <row r="35" spans="1:7" ht="15.75" x14ac:dyDescent="0.25">
      <c r="A35" s="390" t="s">
        <v>432</v>
      </c>
      <c r="B35" s="42">
        <v>3100</v>
      </c>
      <c r="C35" s="43"/>
      <c r="D35" s="420">
        <v>105</v>
      </c>
      <c r="E35" s="408">
        <v>50</v>
      </c>
      <c r="F35" s="408">
        <v>50</v>
      </c>
      <c r="G35" s="408">
        <v>50</v>
      </c>
    </row>
    <row r="36" spans="1:7" ht="15.75" x14ac:dyDescent="0.25">
      <c r="A36" s="390" t="s">
        <v>434</v>
      </c>
      <c r="B36" s="42">
        <v>3150</v>
      </c>
      <c r="C36" s="43"/>
      <c r="D36" s="420">
        <v>300</v>
      </c>
      <c r="E36" s="408">
        <v>375</v>
      </c>
      <c r="F36" s="408">
        <v>375</v>
      </c>
      <c r="G36" s="408">
        <v>0</v>
      </c>
    </row>
    <row r="37" spans="1:7" ht="15.75" x14ac:dyDescent="0.25">
      <c r="A37" s="390" t="s">
        <v>391</v>
      </c>
      <c r="B37" s="42">
        <v>3301</v>
      </c>
      <c r="C37" s="43"/>
      <c r="D37" s="430">
        <v>0</v>
      </c>
      <c r="E37" s="431">
        <v>0</v>
      </c>
      <c r="F37" s="431">
        <v>0</v>
      </c>
      <c r="G37" s="431">
        <v>0</v>
      </c>
    </row>
    <row r="38" spans="1:7" ht="15.75" x14ac:dyDescent="0.25">
      <c r="A38" s="390" t="s">
        <v>392</v>
      </c>
      <c r="B38" s="42">
        <v>3571</v>
      </c>
      <c r="C38" s="43"/>
      <c r="D38" s="420">
        <v>1300</v>
      </c>
      <c r="E38" s="408">
        <v>1300</v>
      </c>
      <c r="F38" s="408">
        <v>1300</v>
      </c>
      <c r="G38" s="408">
        <v>1300</v>
      </c>
    </row>
    <row r="39" spans="1:7" ht="15.75" x14ac:dyDescent="0.25">
      <c r="A39" s="390" t="s">
        <v>393</v>
      </c>
      <c r="B39" s="42" t="s">
        <v>400</v>
      </c>
      <c r="C39" s="43"/>
      <c r="D39" s="420">
        <v>3900</v>
      </c>
      <c r="E39" s="408">
        <v>3900</v>
      </c>
      <c r="F39" s="408">
        <v>3900</v>
      </c>
      <c r="G39" s="408">
        <v>3900</v>
      </c>
    </row>
    <row r="40" spans="1:7" ht="15.75" x14ac:dyDescent="0.25">
      <c r="A40" s="390" t="s">
        <v>394</v>
      </c>
      <c r="B40" s="42"/>
      <c r="C40" s="43"/>
      <c r="D40" s="420">
        <v>813</v>
      </c>
      <c r="E40" s="408">
        <v>813</v>
      </c>
      <c r="F40" s="408">
        <v>813</v>
      </c>
      <c r="G40" s="408">
        <v>813</v>
      </c>
    </row>
    <row r="41" spans="1:7" ht="15.75" x14ac:dyDescent="0.25">
      <c r="A41" s="390" t="s">
        <v>395</v>
      </c>
      <c r="B41" s="42"/>
      <c r="C41" s="43"/>
      <c r="D41" s="420">
        <v>893</v>
      </c>
      <c r="E41" s="408">
        <v>893</v>
      </c>
      <c r="F41" s="408">
        <v>893</v>
      </c>
      <c r="G41" s="408">
        <v>893</v>
      </c>
    </row>
    <row r="42" spans="1:7" ht="15.75" x14ac:dyDescent="0.25">
      <c r="A42" s="390" t="s">
        <v>396</v>
      </c>
      <c r="B42" s="42"/>
      <c r="C42" s="43"/>
      <c r="D42" s="420">
        <v>3351</v>
      </c>
      <c r="E42" s="408">
        <v>3351</v>
      </c>
      <c r="F42" s="408">
        <v>3351</v>
      </c>
      <c r="G42" s="408">
        <v>3351</v>
      </c>
    </row>
    <row r="43" spans="1:7" ht="15.75" x14ac:dyDescent="0.25">
      <c r="A43" s="390" t="s">
        <v>397</v>
      </c>
      <c r="B43" s="42"/>
      <c r="C43" s="43"/>
      <c r="D43" s="420">
        <v>579</v>
      </c>
      <c r="E43" s="408">
        <v>579</v>
      </c>
      <c r="F43" s="408">
        <v>579</v>
      </c>
      <c r="G43" s="408">
        <v>579</v>
      </c>
    </row>
    <row r="44" spans="1:7" ht="15.75" x14ac:dyDescent="0.25">
      <c r="A44" s="390" t="s">
        <v>398</v>
      </c>
      <c r="B44" s="42"/>
      <c r="C44" s="43"/>
      <c r="D44" s="420">
        <v>4840</v>
      </c>
      <c r="E44" s="408">
        <v>4840</v>
      </c>
      <c r="F44" s="408">
        <v>4840</v>
      </c>
      <c r="G44" s="408">
        <v>4840</v>
      </c>
    </row>
    <row r="45" spans="1:7" ht="15.75" x14ac:dyDescent="0.25">
      <c r="A45" s="390" t="s">
        <v>399</v>
      </c>
      <c r="B45" s="42"/>
      <c r="C45" s="43"/>
      <c r="D45" s="420"/>
      <c r="E45" s="431">
        <v>-600</v>
      </c>
      <c r="F45" s="408">
        <v>-600</v>
      </c>
      <c r="G45" s="408">
        <v>-600</v>
      </c>
    </row>
    <row r="46" spans="1:7" ht="15.75" x14ac:dyDescent="0.25">
      <c r="A46" s="390" t="s">
        <v>422</v>
      </c>
      <c r="B46" s="42"/>
      <c r="C46" s="43"/>
      <c r="D46" s="430">
        <f>-2000+150</f>
        <v>-1850</v>
      </c>
      <c r="E46" s="431">
        <f>-4500+2000</f>
        <v>-2500</v>
      </c>
      <c r="F46" s="431">
        <f>-4500+1000</f>
        <v>-3500</v>
      </c>
      <c r="G46" s="431">
        <f>-4500+1000</f>
        <v>-3500</v>
      </c>
    </row>
    <row r="47" spans="1:7" ht="15.75" x14ac:dyDescent="0.25">
      <c r="A47" s="390" t="s">
        <v>219</v>
      </c>
      <c r="B47" s="42">
        <v>3000</v>
      </c>
      <c r="C47" s="43">
        <v>-14949</v>
      </c>
      <c r="D47" s="111"/>
      <c r="E47" s="71"/>
      <c r="F47" s="71"/>
      <c r="G47" s="71"/>
    </row>
    <row r="48" spans="1:7" ht="16.5" thickBot="1" x14ac:dyDescent="0.3">
      <c r="A48" s="391" t="s">
        <v>65</v>
      </c>
      <c r="B48" s="42"/>
      <c r="C48" s="116">
        <f>SUM(C10:C47)</f>
        <v>-7198</v>
      </c>
      <c r="D48" s="111"/>
      <c r="E48" s="71"/>
      <c r="F48" s="71"/>
      <c r="G48" s="71"/>
    </row>
    <row r="49" spans="1:7" ht="16.5" thickTop="1" x14ac:dyDescent="0.25">
      <c r="A49" s="392"/>
      <c r="B49" s="42"/>
      <c r="C49" s="38"/>
      <c r="D49" s="111"/>
      <c r="E49" s="71"/>
      <c r="F49" s="71"/>
      <c r="G49" s="71"/>
    </row>
    <row r="50" spans="1:7" ht="15.75" x14ac:dyDescent="0.25">
      <c r="A50" s="391" t="s">
        <v>60</v>
      </c>
      <c r="B50" s="42"/>
      <c r="C50" s="38"/>
      <c r="D50" s="111"/>
      <c r="E50" s="71"/>
      <c r="F50" s="71"/>
      <c r="G50" s="71"/>
    </row>
    <row r="51" spans="1:7" ht="15.75" x14ac:dyDescent="0.25">
      <c r="A51" s="390" t="s">
        <v>420</v>
      </c>
      <c r="B51" s="42"/>
      <c r="C51" s="43">
        <v>300</v>
      </c>
      <c r="D51" s="111">
        <v>300</v>
      </c>
      <c r="E51" s="71"/>
      <c r="F51" s="71"/>
      <c r="G51" s="71"/>
    </row>
    <row r="52" spans="1:7" ht="16.5" thickBot="1" x14ac:dyDescent="0.3">
      <c r="A52" s="391" t="s">
        <v>66</v>
      </c>
      <c r="B52" s="42"/>
      <c r="C52" s="203">
        <f>SUM(C51:C51)</f>
        <v>300</v>
      </c>
      <c r="D52" s="111"/>
      <c r="E52" s="71"/>
      <c r="F52" s="71"/>
      <c r="G52" s="71"/>
    </row>
    <row r="53" spans="1:7" ht="16.5" thickTop="1" x14ac:dyDescent="0.25">
      <c r="A53" s="404"/>
      <c r="B53" s="46"/>
      <c r="C53" s="38"/>
      <c r="D53" s="111"/>
      <c r="E53" s="73"/>
      <c r="F53" s="73"/>
      <c r="G53" s="121"/>
    </row>
    <row r="54" spans="1:7" ht="15.75" x14ac:dyDescent="0.25">
      <c r="A54" s="404"/>
      <c r="B54" s="46"/>
      <c r="C54" s="38"/>
      <c r="D54" s="111"/>
      <c r="E54" s="73"/>
      <c r="F54" s="73"/>
      <c r="G54" s="121"/>
    </row>
    <row r="55" spans="1:7" ht="15.75" x14ac:dyDescent="0.25">
      <c r="A55" s="404"/>
      <c r="B55" s="46"/>
      <c r="C55" s="38"/>
      <c r="D55" s="111"/>
      <c r="E55" s="73"/>
      <c r="F55" s="73"/>
      <c r="G55" s="121"/>
    </row>
    <row r="56" spans="1:7" ht="15.75" x14ac:dyDescent="0.25">
      <c r="A56" s="404"/>
      <c r="B56" s="46"/>
      <c r="C56" s="38"/>
      <c r="D56" s="111"/>
      <c r="E56" s="73"/>
      <c r="F56" s="73"/>
      <c r="G56" s="121"/>
    </row>
    <row r="57" spans="1:7" ht="15.75" x14ac:dyDescent="0.25">
      <c r="A57" s="404"/>
      <c r="B57" s="46"/>
      <c r="C57" s="38"/>
      <c r="D57" s="111"/>
      <c r="E57" s="73"/>
      <c r="F57" s="73"/>
      <c r="G57" s="121"/>
    </row>
    <row r="58" spans="1:7" ht="16.5" thickBot="1" x14ac:dyDescent="0.3">
      <c r="A58" s="337"/>
      <c r="B58" s="46"/>
      <c r="C58" s="358"/>
      <c r="D58" s="147"/>
      <c r="E58" s="73"/>
      <c r="F58" s="73"/>
      <c r="G58" s="121"/>
    </row>
    <row r="59" spans="1:7" ht="16.5" thickBot="1" x14ac:dyDescent="0.3">
      <c r="A59" s="393" t="s">
        <v>62</v>
      </c>
      <c r="B59" s="394"/>
      <c r="C59" s="395">
        <f>+C7+C48+C52+C8</f>
        <v>368857</v>
      </c>
      <c r="D59" s="396">
        <f>SUM(D7:D58)</f>
        <v>384886</v>
      </c>
      <c r="E59" s="397">
        <f>SUM(E7:E58)</f>
        <v>383151</v>
      </c>
      <c r="F59" s="397">
        <f>SUM(F7:F58)</f>
        <v>381146</v>
      </c>
      <c r="G59" s="398">
        <f>SUM(G7:G58)</f>
        <v>379766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ySplit="6" topLeftCell="A19" activePane="bottomLeft" state="frozen"/>
      <selection pane="bottomLeft" activeCell="E38" sqref="E3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s="303" customFormat="1" ht="11.25" x14ac:dyDescent="0.2">
      <c r="B1" s="304"/>
      <c r="C1" s="305"/>
      <c r="D1" s="305"/>
      <c r="E1" s="305"/>
      <c r="F1" s="305"/>
      <c r="G1" s="306"/>
    </row>
    <row r="2" spans="1:7" ht="26.25" thickBot="1" x14ac:dyDescent="0.4">
      <c r="A2" s="97" t="s">
        <v>211</v>
      </c>
      <c r="B2" s="98"/>
      <c r="C2" s="7"/>
      <c r="D2" s="7"/>
      <c r="E2" s="7"/>
      <c r="F2" s="8"/>
      <c r="G2" s="9" t="s">
        <v>19</v>
      </c>
    </row>
    <row r="3" spans="1:7" s="302" customFormat="1" ht="15.75" thickTop="1" x14ac:dyDescent="0.25">
      <c r="A3" s="299"/>
      <c r="B3" s="300"/>
      <c r="C3" s="301"/>
      <c r="D3" s="301"/>
      <c r="E3" s="301"/>
      <c r="F3" s="301"/>
      <c r="G3" s="301"/>
    </row>
    <row r="4" spans="1:7" ht="22.5" x14ac:dyDescent="0.3">
      <c r="A4" s="318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19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78185</v>
      </c>
      <c r="D7" s="140">
        <f>C60</f>
        <v>75709</v>
      </c>
      <c r="E7" s="109">
        <f>+D7</f>
        <v>75709</v>
      </c>
      <c r="F7" s="109">
        <f>+D7</f>
        <v>75709</v>
      </c>
      <c r="G7" s="109">
        <f>+D7</f>
        <v>75709</v>
      </c>
    </row>
    <row r="8" spans="1:7" ht="15.75" x14ac:dyDescent="0.25">
      <c r="A8" s="78" t="s">
        <v>354</v>
      </c>
      <c r="B8" s="55"/>
      <c r="C8" s="129">
        <v>-3256</v>
      </c>
      <c r="D8" s="111">
        <f>-C45</f>
        <v>-100</v>
      </c>
      <c r="E8" s="40">
        <f>-C45</f>
        <v>-100</v>
      </c>
      <c r="F8" s="40">
        <f>-C45</f>
        <v>-100</v>
      </c>
      <c r="G8" s="40">
        <f>-C45</f>
        <v>-100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s="200" customFormat="1" ht="15.75" x14ac:dyDescent="0.25">
      <c r="A11" s="323" t="s">
        <v>161</v>
      </c>
      <c r="B11" s="42" t="s">
        <v>109</v>
      </c>
      <c r="C11" s="47">
        <v>3716</v>
      </c>
      <c r="D11" s="292">
        <v>271</v>
      </c>
      <c r="E11" s="73">
        <v>271</v>
      </c>
      <c r="F11" s="73">
        <v>271</v>
      </c>
      <c r="G11" s="121">
        <v>271</v>
      </c>
    </row>
    <row r="12" spans="1:7" s="200" customFormat="1" ht="15.75" x14ac:dyDescent="0.25">
      <c r="A12" s="329" t="s">
        <v>340</v>
      </c>
      <c r="B12" s="46">
        <v>6105</v>
      </c>
      <c r="C12" s="47">
        <f>-318+318</f>
        <v>0</v>
      </c>
      <c r="D12" s="292"/>
      <c r="E12" s="73"/>
      <c r="F12" s="73"/>
      <c r="G12" s="121"/>
    </row>
    <row r="13" spans="1:7" s="200" customFormat="1" ht="15.75" x14ac:dyDescent="0.25">
      <c r="A13" s="379" t="s">
        <v>330</v>
      </c>
      <c r="B13" s="42" t="s">
        <v>109</v>
      </c>
      <c r="C13" s="43">
        <v>-50</v>
      </c>
      <c r="D13" s="292"/>
      <c r="E13" s="73"/>
      <c r="F13" s="73"/>
      <c r="G13" s="121"/>
    </row>
    <row r="14" spans="1:7" s="200" customFormat="1" ht="15.75" x14ac:dyDescent="0.25">
      <c r="A14" s="329" t="s">
        <v>331</v>
      </c>
      <c r="B14" s="46">
        <v>6311</v>
      </c>
      <c r="C14" s="47">
        <v>-400</v>
      </c>
      <c r="D14" s="292"/>
      <c r="E14" s="73">
        <v>-200</v>
      </c>
      <c r="F14" s="73">
        <v>-400</v>
      </c>
      <c r="G14" s="121">
        <v>-400</v>
      </c>
    </row>
    <row r="15" spans="1:7" s="200" customFormat="1" ht="15.75" x14ac:dyDescent="0.25">
      <c r="A15" s="329" t="s">
        <v>421</v>
      </c>
      <c r="B15" s="46">
        <v>6311</v>
      </c>
      <c r="C15" s="47">
        <v>-200</v>
      </c>
      <c r="D15" s="421">
        <v>0</v>
      </c>
      <c r="E15" s="412">
        <v>0</v>
      </c>
      <c r="F15" s="412">
        <v>0</v>
      </c>
      <c r="G15" s="410">
        <v>0</v>
      </c>
    </row>
    <row r="16" spans="1:7" s="200" customFormat="1" ht="15.75" x14ac:dyDescent="0.25">
      <c r="A16" s="379" t="s">
        <v>207</v>
      </c>
      <c r="B16" s="42" t="s">
        <v>342</v>
      </c>
      <c r="C16" s="43">
        <v>-75</v>
      </c>
      <c r="D16" s="111"/>
      <c r="E16" s="71"/>
      <c r="F16" s="71"/>
      <c r="G16" s="71"/>
    </row>
    <row r="17" spans="1:7" s="200" customFormat="1" ht="15.75" x14ac:dyDescent="0.25">
      <c r="A17" s="379" t="s">
        <v>334</v>
      </c>
      <c r="B17" s="42" t="s">
        <v>342</v>
      </c>
      <c r="C17" s="43">
        <v>-41</v>
      </c>
      <c r="D17" s="111"/>
      <c r="E17" s="71"/>
      <c r="F17" s="71"/>
      <c r="G17" s="71"/>
    </row>
    <row r="18" spans="1:7" s="200" customFormat="1" ht="15.75" x14ac:dyDescent="0.25">
      <c r="A18" s="400" t="s">
        <v>336</v>
      </c>
      <c r="B18" s="46">
        <v>6102</v>
      </c>
      <c r="C18" s="47">
        <v>150</v>
      </c>
      <c r="D18" s="292"/>
      <c r="E18" s="73"/>
      <c r="F18" s="73"/>
      <c r="G18" s="121"/>
    </row>
    <row r="19" spans="1:7" s="200" customFormat="1" ht="15.75" x14ac:dyDescent="0.25">
      <c r="A19" s="329" t="s">
        <v>208</v>
      </c>
      <c r="B19" s="46">
        <v>6100</v>
      </c>
      <c r="C19" s="47">
        <v>-1730</v>
      </c>
      <c r="D19" s="292"/>
      <c r="E19" s="73"/>
      <c r="F19" s="73"/>
      <c r="G19" s="121"/>
    </row>
    <row r="20" spans="1:7" s="200" customFormat="1" ht="15.75" x14ac:dyDescent="0.25">
      <c r="A20" s="329" t="s">
        <v>258</v>
      </c>
      <c r="B20" s="46">
        <v>6310</v>
      </c>
      <c r="C20" s="47">
        <v>-770</v>
      </c>
      <c r="D20" s="292"/>
      <c r="E20" s="73"/>
      <c r="F20" s="73"/>
      <c r="G20" s="121"/>
    </row>
    <row r="21" spans="1:7" s="200" customFormat="1" ht="15.75" x14ac:dyDescent="0.25">
      <c r="A21" s="329" t="s">
        <v>259</v>
      </c>
      <c r="B21" s="46">
        <v>6772</v>
      </c>
      <c r="C21" s="47">
        <v>-160</v>
      </c>
      <c r="D21" s="292"/>
      <c r="E21" s="73"/>
      <c r="F21" s="73"/>
      <c r="G21" s="121"/>
    </row>
    <row r="22" spans="1:7" s="200" customFormat="1" ht="15.75" x14ac:dyDescent="0.25">
      <c r="A22" s="365" t="s">
        <v>321</v>
      </c>
      <c r="B22" s="46">
        <v>6411</v>
      </c>
      <c r="C22" s="47"/>
      <c r="D22" s="292"/>
      <c r="E22" s="429">
        <v>0</v>
      </c>
      <c r="F22" s="73"/>
      <c r="G22" s="121"/>
    </row>
    <row r="23" spans="1:7" s="200" customFormat="1" ht="15.75" x14ac:dyDescent="0.25">
      <c r="A23" s="324" t="s">
        <v>196</v>
      </c>
      <c r="B23" s="46">
        <v>6720</v>
      </c>
      <c r="C23" s="47">
        <v>40</v>
      </c>
      <c r="D23" s="292">
        <v>40</v>
      </c>
      <c r="E23" s="73">
        <v>40</v>
      </c>
      <c r="F23" s="73">
        <v>40</v>
      </c>
      <c r="G23" s="121">
        <v>40</v>
      </c>
    </row>
    <row r="24" spans="1:7" s="200" customFormat="1" ht="15.75" x14ac:dyDescent="0.25">
      <c r="A24" s="324" t="s">
        <v>351</v>
      </c>
      <c r="B24" s="46">
        <v>6750</v>
      </c>
      <c r="C24" s="47">
        <v>1089</v>
      </c>
      <c r="D24" s="292"/>
      <c r="E24" s="73"/>
      <c r="F24" s="73"/>
      <c r="G24" s="121"/>
    </row>
    <row r="25" spans="1:7" s="200" customFormat="1" ht="15.75" x14ac:dyDescent="0.25">
      <c r="A25" s="324" t="s">
        <v>245</v>
      </c>
      <c r="B25" s="46">
        <v>6100</v>
      </c>
      <c r="C25" s="47">
        <v>80</v>
      </c>
      <c r="D25" s="292"/>
      <c r="E25" s="73"/>
      <c r="F25" s="73"/>
      <c r="G25" s="121"/>
    </row>
    <row r="26" spans="1:7" s="200" customFormat="1" ht="15.75" x14ac:dyDescent="0.25">
      <c r="A26" s="324" t="s">
        <v>232</v>
      </c>
      <c r="B26" s="46" t="s">
        <v>109</v>
      </c>
      <c r="C26" s="47">
        <v>-600</v>
      </c>
      <c r="D26" s="292"/>
      <c r="E26" s="73"/>
      <c r="F26" s="73"/>
      <c r="G26" s="121"/>
    </row>
    <row r="27" spans="1:7" ht="15.75" x14ac:dyDescent="0.25">
      <c r="A27" s="325" t="s">
        <v>183</v>
      </c>
      <c r="B27" s="42">
        <v>6311</v>
      </c>
      <c r="C27" s="47">
        <v>-500</v>
      </c>
      <c r="D27" s="292">
        <v>-500</v>
      </c>
      <c r="E27" s="73">
        <v>-500</v>
      </c>
      <c r="F27" s="73">
        <v>-500</v>
      </c>
      <c r="G27" s="121">
        <v>-500</v>
      </c>
    </row>
    <row r="28" spans="1:7" ht="15.75" x14ac:dyDescent="0.25">
      <c r="A28" s="324" t="s">
        <v>187</v>
      </c>
      <c r="B28" s="46" t="s">
        <v>109</v>
      </c>
      <c r="C28" s="47">
        <v>-5</v>
      </c>
      <c r="D28" s="292">
        <v>-5</v>
      </c>
      <c r="E28" s="73">
        <v>-10</v>
      </c>
      <c r="F28" s="73">
        <v>-15</v>
      </c>
      <c r="G28" s="121">
        <v>-20</v>
      </c>
    </row>
    <row r="29" spans="1:7" ht="15.75" x14ac:dyDescent="0.25">
      <c r="A29" s="324" t="s">
        <v>412</v>
      </c>
      <c r="B29" s="46">
        <v>6102</v>
      </c>
      <c r="C29" s="47"/>
      <c r="D29" s="421">
        <v>450</v>
      </c>
      <c r="E29" s="412">
        <v>450</v>
      </c>
      <c r="F29" s="412">
        <v>450</v>
      </c>
      <c r="G29" s="410">
        <v>450</v>
      </c>
    </row>
    <row r="30" spans="1:7" ht="15.75" x14ac:dyDescent="0.25">
      <c r="A30" s="324" t="s">
        <v>408</v>
      </c>
      <c r="B30" s="46">
        <v>6411</v>
      </c>
      <c r="C30" s="47"/>
      <c r="D30" s="421">
        <v>-250</v>
      </c>
      <c r="E30" s="412">
        <v>-250</v>
      </c>
      <c r="F30" s="412">
        <v>-250</v>
      </c>
      <c r="G30" s="410">
        <v>-250</v>
      </c>
    </row>
    <row r="31" spans="1:7" ht="15.75" x14ac:dyDescent="0.25">
      <c r="A31" s="324" t="s">
        <v>409</v>
      </c>
      <c r="B31" s="46">
        <v>6411</v>
      </c>
      <c r="C31" s="47"/>
      <c r="D31" s="421">
        <v>750</v>
      </c>
      <c r="E31" s="412">
        <v>750</v>
      </c>
      <c r="F31" s="412">
        <v>750</v>
      </c>
      <c r="G31" s="410">
        <v>750</v>
      </c>
    </row>
    <row r="32" spans="1:7" ht="15.75" x14ac:dyDescent="0.25">
      <c r="A32" s="324" t="s">
        <v>410</v>
      </c>
      <c r="B32" s="46">
        <v>6413</v>
      </c>
      <c r="C32" s="47"/>
      <c r="D32" s="421">
        <v>-500</v>
      </c>
      <c r="E32" s="412">
        <v>-500</v>
      </c>
      <c r="F32" s="412">
        <v>-500</v>
      </c>
      <c r="G32" s="410">
        <v>-500</v>
      </c>
    </row>
    <row r="33" spans="1:7" ht="15.75" x14ac:dyDescent="0.25">
      <c r="A33" s="324" t="s">
        <v>411</v>
      </c>
      <c r="B33" s="46">
        <v>6510</v>
      </c>
      <c r="C33" s="47"/>
      <c r="D33" s="421">
        <v>550</v>
      </c>
      <c r="E33" s="412">
        <v>550</v>
      </c>
      <c r="F33" s="412">
        <v>550</v>
      </c>
      <c r="G33" s="410">
        <v>550</v>
      </c>
    </row>
    <row r="34" spans="1:7" ht="15.75" x14ac:dyDescent="0.25">
      <c r="A34" s="324" t="s">
        <v>398</v>
      </c>
      <c r="B34" s="46" t="s">
        <v>109</v>
      </c>
      <c r="C34" s="47"/>
      <c r="D34" s="421">
        <v>940</v>
      </c>
      <c r="E34" s="412">
        <v>940</v>
      </c>
      <c r="F34" s="412">
        <v>940</v>
      </c>
      <c r="G34" s="410">
        <v>940</v>
      </c>
    </row>
    <row r="35" spans="1:7" ht="15.75" x14ac:dyDescent="0.25">
      <c r="A35" s="324" t="s">
        <v>443</v>
      </c>
      <c r="B35" s="46"/>
      <c r="C35" s="47"/>
      <c r="D35" s="433">
        <v>15</v>
      </c>
      <c r="E35" s="434">
        <v>15</v>
      </c>
      <c r="F35" s="434">
        <v>15</v>
      </c>
      <c r="G35" s="435">
        <v>15</v>
      </c>
    </row>
    <row r="36" spans="1:7" ht="15.75" x14ac:dyDescent="0.25">
      <c r="A36" s="324" t="s">
        <v>422</v>
      </c>
      <c r="B36" s="46">
        <v>6000</v>
      </c>
      <c r="C36" s="47"/>
      <c r="D36" s="433">
        <f>-1000+100</f>
        <v>-900</v>
      </c>
      <c r="E36" s="434">
        <f>-2000+1000</f>
        <v>-1000</v>
      </c>
      <c r="F36" s="434">
        <f>-2000+650</f>
        <v>-1350</v>
      </c>
      <c r="G36" s="435">
        <f>-2000+650</f>
        <v>-1350</v>
      </c>
    </row>
    <row r="37" spans="1:7" s="198" customFormat="1" ht="15.75" x14ac:dyDescent="0.25">
      <c r="A37" s="325" t="s">
        <v>190</v>
      </c>
      <c r="B37" s="46">
        <v>6310</v>
      </c>
      <c r="C37" s="47">
        <v>136</v>
      </c>
      <c r="D37" s="292"/>
      <c r="E37" s="73"/>
      <c r="F37" s="73"/>
      <c r="G37" s="121"/>
    </row>
    <row r="38" spans="1:7" s="136" customFormat="1" ht="16.5" thickBot="1" x14ac:dyDescent="0.3">
      <c r="A38" s="326" t="s">
        <v>65</v>
      </c>
      <c r="B38" s="148"/>
      <c r="C38" s="116">
        <f>SUM(C10:C37)</f>
        <v>680</v>
      </c>
      <c r="D38" s="149"/>
      <c r="E38" s="135"/>
      <c r="F38" s="135"/>
      <c r="G38" s="135"/>
    </row>
    <row r="39" spans="1:7" ht="16.5" thickTop="1" x14ac:dyDescent="0.25">
      <c r="A39" s="325"/>
      <c r="B39" s="42"/>
      <c r="C39" s="38"/>
      <c r="D39" s="111"/>
      <c r="E39" s="71"/>
      <c r="F39" s="71"/>
      <c r="G39" s="71"/>
    </row>
    <row r="40" spans="1:7" ht="15.75" x14ac:dyDescent="0.25">
      <c r="A40" s="326" t="s">
        <v>60</v>
      </c>
      <c r="B40" s="42"/>
      <c r="C40" s="43"/>
      <c r="D40" s="111"/>
      <c r="E40" s="71"/>
      <c r="F40" s="71"/>
      <c r="G40" s="71"/>
    </row>
    <row r="41" spans="1:7" ht="15.75" x14ac:dyDescent="0.25">
      <c r="A41" s="325" t="s">
        <v>201</v>
      </c>
      <c r="B41" s="46">
        <v>6770</v>
      </c>
      <c r="C41" s="47">
        <v>100</v>
      </c>
      <c r="D41" s="292"/>
      <c r="E41" s="71"/>
      <c r="F41" s="71"/>
      <c r="G41" s="71"/>
    </row>
    <row r="42" spans="1:7" ht="15.75" x14ac:dyDescent="0.25">
      <c r="A42" s="325" t="s">
        <v>17</v>
      </c>
      <c r="B42" s="46">
        <v>6310</v>
      </c>
      <c r="C42" s="47"/>
      <c r="D42" s="421">
        <v>0</v>
      </c>
      <c r="E42" s="71"/>
      <c r="F42" s="71"/>
      <c r="G42" s="71"/>
    </row>
    <row r="43" spans="1:7" ht="15.75" x14ac:dyDescent="0.25">
      <c r="A43" s="325" t="s">
        <v>198</v>
      </c>
      <c r="B43" s="46">
        <v>6411</v>
      </c>
      <c r="C43" s="47"/>
      <c r="D43" s="421">
        <v>0</v>
      </c>
      <c r="E43" s="71"/>
      <c r="F43" s="71"/>
      <c r="G43" s="71"/>
    </row>
    <row r="44" spans="1:7" ht="15.75" x14ac:dyDescent="0.25">
      <c r="A44" s="325" t="s">
        <v>438</v>
      </c>
      <c r="B44" s="46">
        <v>6100</v>
      </c>
      <c r="C44" s="47">
        <f>300-300</f>
        <v>0</v>
      </c>
      <c r="D44" s="292">
        <f>300-300</f>
        <v>0</v>
      </c>
      <c r="E44" s="71"/>
      <c r="F44" s="71"/>
      <c r="G44" s="71"/>
    </row>
    <row r="45" spans="1:7" s="136" customFormat="1" ht="16.5" thickBot="1" x14ac:dyDescent="0.3">
      <c r="A45" s="326" t="s">
        <v>66</v>
      </c>
      <c r="B45" s="148"/>
      <c r="C45" s="116">
        <f>SUM(C40:C44)</f>
        <v>100</v>
      </c>
      <c r="D45" s="149"/>
      <c r="E45" s="135"/>
      <c r="F45" s="135"/>
      <c r="G45" s="135"/>
    </row>
    <row r="46" spans="1:7" s="136" customFormat="1" ht="16.5" thickTop="1" x14ac:dyDescent="0.25">
      <c r="A46" s="322"/>
      <c r="B46" s="307"/>
      <c r="C46" s="43"/>
      <c r="D46" s="308"/>
      <c r="E46" s="135"/>
      <c r="F46" s="135"/>
      <c r="G46" s="135"/>
    </row>
    <row r="47" spans="1:7" s="136" customFormat="1" ht="15.75" x14ac:dyDescent="0.25">
      <c r="A47" s="322"/>
      <c r="B47" s="307"/>
      <c r="C47" s="43"/>
      <c r="D47" s="308"/>
      <c r="E47" s="135"/>
      <c r="F47" s="135"/>
      <c r="G47" s="135"/>
    </row>
    <row r="48" spans="1:7" s="136" customFormat="1" ht="15.75" x14ac:dyDescent="0.25">
      <c r="A48" s="322"/>
      <c r="B48" s="307"/>
      <c r="C48" s="43"/>
      <c r="D48" s="308"/>
      <c r="E48" s="135"/>
      <c r="F48" s="135"/>
      <c r="G48" s="135"/>
    </row>
    <row r="49" spans="1:7" s="136" customFormat="1" ht="15.75" x14ac:dyDescent="0.25">
      <c r="A49" s="322"/>
      <c r="B49" s="307"/>
      <c r="C49" s="43"/>
      <c r="D49" s="308"/>
      <c r="E49" s="135"/>
      <c r="F49" s="135"/>
      <c r="G49" s="135"/>
    </row>
    <row r="50" spans="1:7" s="136" customFormat="1" ht="15.75" x14ac:dyDescent="0.25">
      <c r="A50" s="322"/>
      <c r="B50" s="307"/>
      <c r="C50" s="43"/>
      <c r="D50" s="308"/>
      <c r="E50" s="135"/>
      <c r="F50" s="135"/>
      <c r="G50" s="135"/>
    </row>
    <row r="51" spans="1:7" s="136" customFormat="1" ht="15.75" x14ac:dyDescent="0.25">
      <c r="A51" s="322"/>
      <c r="B51" s="307"/>
      <c r="C51" s="43"/>
      <c r="D51" s="308"/>
      <c r="E51" s="135"/>
      <c r="F51" s="135"/>
      <c r="G51" s="135"/>
    </row>
    <row r="52" spans="1:7" s="136" customFormat="1" ht="15.75" x14ac:dyDescent="0.25">
      <c r="A52" s="322"/>
      <c r="B52" s="307"/>
      <c r="C52" s="43"/>
      <c r="D52" s="308"/>
      <c r="E52" s="135"/>
      <c r="F52" s="135"/>
      <c r="G52" s="135"/>
    </row>
    <row r="53" spans="1:7" s="136" customFormat="1" ht="15.75" x14ac:dyDescent="0.25">
      <c r="A53" s="322"/>
      <c r="B53" s="307"/>
      <c r="C53" s="43"/>
      <c r="D53" s="308"/>
      <c r="E53" s="135"/>
      <c r="F53" s="135"/>
      <c r="G53" s="135"/>
    </row>
    <row r="54" spans="1:7" s="136" customFormat="1" ht="15.75" x14ac:dyDescent="0.25">
      <c r="A54" s="322"/>
      <c r="B54" s="307"/>
      <c r="C54" s="43"/>
      <c r="D54" s="308"/>
      <c r="E54" s="135"/>
      <c r="F54" s="135"/>
      <c r="G54" s="135"/>
    </row>
    <row r="55" spans="1:7" s="136" customFormat="1" ht="15.75" x14ac:dyDescent="0.25">
      <c r="A55" s="322"/>
      <c r="B55" s="307"/>
      <c r="C55" s="43"/>
      <c r="D55" s="308"/>
      <c r="E55" s="135"/>
      <c r="F55" s="135"/>
      <c r="G55" s="135"/>
    </row>
    <row r="56" spans="1:7" s="136" customFormat="1" ht="15.75" x14ac:dyDescent="0.25">
      <c r="A56" s="322"/>
      <c r="B56" s="307"/>
      <c r="C56" s="43"/>
      <c r="D56" s="308"/>
      <c r="E56" s="135"/>
      <c r="F56" s="135"/>
      <c r="G56" s="135"/>
    </row>
    <row r="57" spans="1:7" s="136" customFormat="1" ht="15.75" x14ac:dyDescent="0.25">
      <c r="A57" s="322"/>
      <c r="B57" s="307"/>
      <c r="C57" s="43"/>
      <c r="D57" s="308"/>
      <c r="E57" s="135"/>
      <c r="F57" s="135"/>
      <c r="G57" s="135"/>
    </row>
    <row r="58" spans="1:7" s="136" customFormat="1" ht="15.75" x14ac:dyDescent="0.25">
      <c r="A58" s="322"/>
      <c r="B58" s="307"/>
      <c r="C58" s="43"/>
      <c r="D58" s="308"/>
      <c r="E58" s="135"/>
      <c r="F58" s="135"/>
      <c r="G58" s="135"/>
    </row>
    <row r="59" spans="1:7" s="136" customFormat="1" ht="16.5" thickBot="1" x14ac:dyDescent="0.3">
      <c r="A59" s="337"/>
      <c r="B59" s="46"/>
      <c r="C59" s="47"/>
      <c r="D59" s="292"/>
      <c r="E59" s="71"/>
      <c r="F59" s="71"/>
      <c r="G59" s="71"/>
    </row>
    <row r="60" spans="1:7" ht="16.5" thickBot="1" x14ac:dyDescent="0.3">
      <c r="A60" s="364" t="s">
        <v>62</v>
      </c>
      <c r="B60" s="90"/>
      <c r="C60" s="91">
        <f>+C7+C38+C45+C8</f>
        <v>75709</v>
      </c>
      <c r="D60" s="126">
        <f>SUM(D7:D59)</f>
        <v>76470</v>
      </c>
      <c r="E60" s="93">
        <f>SUM(E7:E59)</f>
        <v>76165</v>
      </c>
      <c r="F60" s="93">
        <f>SUM(F7:F59)</f>
        <v>75610</v>
      </c>
      <c r="G60" s="93">
        <f>SUM(G7:G59)</f>
        <v>75605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9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22" workbookViewId="0">
      <selection activeCell="A37" sqref="A37"/>
    </sheetView>
  </sheetViews>
  <sheetFormatPr baseColWidth="10" defaultColWidth="9.85546875" defaultRowHeight="12.75" x14ac:dyDescent="0.2"/>
  <cols>
    <col min="1" max="1" width="30.85546875" style="1" customWidth="1"/>
    <col min="2" max="2" width="12.7109375" style="96" customWidth="1"/>
    <col min="3" max="3" width="9.85546875" style="3" hidden="1" customWidth="1"/>
    <col min="4" max="4" width="11.140625" style="3" customWidth="1"/>
    <col min="5" max="8" width="11.7109375" style="3" customWidth="1"/>
    <col min="9" max="16384" width="9.85546875" style="1"/>
  </cols>
  <sheetData>
    <row r="1" spans="1:8" ht="15" x14ac:dyDescent="0.2">
      <c r="H1" s="5"/>
    </row>
    <row r="2" spans="1:8" ht="26.25" thickBot="1" x14ac:dyDescent="0.4">
      <c r="A2" s="151" t="s">
        <v>69</v>
      </c>
      <c r="B2" s="98"/>
      <c r="C2" s="7"/>
      <c r="D2" s="7"/>
      <c r="E2" s="7"/>
      <c r="F2" s="7"/>
      <c r="G2" s="8"/>
      <c r="H2" s="9" t="s">
        <v>19</v>
      </c>
    </row>
    <row r="3" spans="1:8" ht="18.75" thickTop="1" x14ac:dyDescent="0.25">
      <c r="A3" s="10"/>
      <c r="B3" s="99"/>
      <c r="C3" s="12"/>
      <c r="D3" s="12"/>
      <c r="E3" s="12"/>
      <c r="F3" s="12"/>
      <c r="G3" s="12"/>
      <c r="H3" s="12"/>
    </row>
    <row r="4" spans="1:8" ht="22.5" x14ac:dyDescent="0.3">
      <c r="A4" s="13"/>
      <c r="B4" s="100"/>
      <c r="C4" s="15"/>
      <c r="D4" s="152" t="s">
        <v>20</v>
      </c>
      <c r="E4" s="153"/>
      <c r="F4" s="18" t="s">
        <v>21</v>
      </c>
      <c r="G4" s="19"/>
      <c r="H4" s="20"/>
    </row>
    <row r="5" spans="1:8" ht="18.75" x14ac:dyDescent="0.3">
      <c r="A5" s="21"/>
      <c r="B5" s="22"/>
      <c r="C5" s="23"/>
      <c r="D5" s="154" t="s">
        <v>23</v>
      </c>
      <c r="E5" s="155" t="s">
        <v>24</v>
      </c>
      <c r="F5" s="26"/>
      <c r="G5" s="27"/>
      <c r="H5" s="28"/>
    </row>
    <row r="6" spans="1:8" ht="20.25" x14ac:dyDescent="0.3">
      <c r="A6" s="29" t="s">
        <v>70</v>
      </c>
      <c r="B6" s="30" t="s">
        <v>71</v>
      </c>
      <c r="C6" s="31"/>
      <c r="D6" s="340">
        <v>2015</v>
      </c>
      <c r="E6" s="339">
        <v>2016</v>
      </c>
      <c r="F6" s="34">
        <v>2017</v>
      </c>
      <c r="G6" s="35">
        <v>2018</v>
      </c>
      <c r="H6" s="35">
        <v>2019</v>
      </c>
    </row>
    <row r="7" spans="1:8" ht="15.75" x14ac:dyDescent="0.25">
      <c r="A7" s="78"/>
      <c r="B7" s="55"/>
      <c r="C7" s="38"/>
      <c r="D7" s="141"/>
      <c r="E7" s="156"/>
      <c r="F7" s="40"/>
      <c r="G7" s="40"/>
      <c r="H7" s="40"/>
    </row>
    <row r="8" spans="1:8" ht="15.75" x14ac:dyDescent="0.25">
      <c r="A8" s="81" t="s">
        <v>355</v>
      </c>
      <c r="B8" s="42"/>
      <c r="C8" s="43"/>
      <c r="D8" s="113"/>
      <c r="E8" s="115"/>
      <c r="F8" s="79"/>
      <c r="G8" s="79"/>
      <c r="H8" s="310"/>
    </row>
    <row r="9" spans="1:8" ht="15.75" x14ac:dyDescent="0.25">
      <c r="A9" s="69" t="s">
        <v>51</v>
      </c>
      <c r="B9" s="42"/>
      <c r="C9" s="43"/>
      <c r="D9" s="43">
        <v>12250</v>
      </c>
      <c r="E9" s="70">
        <f>+I_Sentr_!D58</f>
        <v>12465</v>
      </c>
      <c r="F9" s="371">
        <f>+I_Sentr_!E58</f>
        <v>10715</v>
      </c>
      <c r="G9" s="371">
        <f>+I_Sentr_!F58</f>
        <v>9915</v>
      </c>
      <c r="H9" s="417">
        <f>+I_Sentr_!G58</f>
        <v>6250</v>
      </c>
    </row>
    <row r="10" spans="1:8" ht="15.75" x14ac:dyDescent="0.25">
      <c r="A10" s="41" t="s">
        <v>52</v>
      </c>
      <c r="B10" s="42"/>
      <c r="C10" s="43"/>
      <c r="D10" s="43">
        <v>7300</v>
      </c>
      <c r="E10" s="70">
        <f>+I_Kirken!D58</f>
        <v>12700</v>
      </c>
      <c r="F10" s="371">
        <f>+I_Kirken!E58</f>
        <v>5500</v>
      </c>
      <c r="G10" s="371">
        <f>+I_Kirken!F58</f>
        <v>1000</v>
      </c>
      <c r="H10" s="417">
        <f>+I_Kirken!G58</f>
        <v>0</v>
      </c>
    </row>
    <row r="11" spans="1:8" ht="15.75" x14ac:dyDescent="0.25">
      <c r="A11" s="41" t="s">
        <v>212</v>
      </c>
      <c r="B11" s="42"/>
      <c r="C11" s="43"/>
      <c r="D11" s="43">
        <v>6800</v>
      </c>
      <c r="E11" s="70">
        <f>+'I_Ku-Oppv'!D58</f>
        <v>47400</v>
      </c>
      <c r="F11" s="371">
        <f>+'I_Ku-Oppv'!E58</f>
        <v>67200</v>
      </c>
      <c r="G11" s="371">
        <f>+'I_Ku-Oppv'!F58</f>
        <v>60500</v>
      </c>
      <c r="H11" s="417">
        <f>+'I_Ku-Oppv'!G58</f>
        <v>2500</v>
      </c>
    </row>
    <row r="12" spans="1:8" ht="15.75" x14ac:dyDescent="0.25">
      <c r="A12" s="69" t="s">
        <v>213</v>
      </c>
      <c r="B12" s="42"/>
      <c r="C12" s="43"/>
      <c r="D12" s="43">
        <v>550</v>
      </c>
      <c r="E12" s="70">
        <f>+I_H_O!D58</f>
        <v>7300</v>
      </c>
      <c r="F12" s="371">
        <f>+I_H_O!E58</f>
        <v>1150</v>
      </c>
      <c r="G12" s="371">
        <f>+I_H_O!F58</f>
        <v>11000</v>
      </c>
      <c r="H12" s="417">
        <f>+I_H_O!G58</f>
        <v>42500</v>
      </c>
    </row>
    <row r="13" spans="1:8" ht="15.75" x14ac:dyDescent="0.25">
      <c r="A13" s="69" t="s">
        <v>72</v>
      </c>
      <c r="B13" s="42"/>
      <c r="C13" s="43"/>
      <c r="D13" s="43">
        <v>13900</v>
      </c>
      <c r="E13" s="70">
        <f>+I_VAR!D24</f>
        <v>18650</v>
      </c>
      <c r="F13" s="371">
        <f>+I_VAR!E24</f>
        <v>2700</v>
      </c>
      <c r="G13" s="371">
        <f>+I_VAR!F24</f>
        <v>24800</v>
      </c>
      <c r="H13" s="417">
        <f>+I_VAR!G24</f>
        <v>24500</v>
      </c>
    </row>
    <row r="14" spans="1:8" ht="15.75" x14ac:dyDescent="0.25">
      <c r="A14" s="69" t="s">
        <v>73</v>
      </c>
      <c r="B14" s="42"/>
      <c r="C14" s="43"/>
      <c r="D14" s="43">
        <v>10100</v>
      </c>
      <c r="E14" s="70">
        <f>+I_VAR!D46</f>
        <v>10650</v>
      </c>
      <c r="F14" s="371">
        <f>+I_VAR!E46</f>
        <v>5300</v>
      </c>
      <c r="G14" s="371">
        <f>+I_VAR!F46</f>
        <v>8000</v>
      </c>
      <c r="H14" s="417">
        <f>+I_VAR!G46</f>
        <v>5800</v>
      </c>
    </row>
    <row r="15" spans="1:8" ht="15.75" x14ac:dyDescent="0.25">
      <c r="A15" s="72" t="s">
        <v>211</v>
      </c>
      <c r="B15" s="46"/>
      <c r="C15" s="47"/>
      <c r="D15" s="43">
        <v>58200</v>
      </c>
      <c r="E15" s="70">
        <f>+I_Teknisk!D57</f>
        <v>33950</v>
      </c>
      <c r="F15" s="371">
        <f>+I_Teknisk!E57</f>
        <v>52800</v>
      </c>
      <c r="G15" s="371">
        <f>+I_Teknisk!F57</f>
        <v>52500</v>
      </c>
      <c r="H15" s="417">
        <f>+I_Teknisk!G57</f>
        <v>36050</v>
      </c>
    </row>
    <row r="16" spans="1:8" ht="15.75" x14ac:dyDescent="0.25">
      <c r="A16" s="74" t="s">
        <v>74</v>
      </c>
      <c r="B16" s="50"/>
      <c r="C16" s="51"/>
      <c r="D16" s="51">
        <f>SUM(D8:D15)</f>
        <v>109100</v>
      </c>
      <c r="E16" s="158">
        <f>SUM(E8:E15)</f>
        <v>143115</v>
      </c>
      <c r="F16" s="76">
        <f>SUM(F8:F15)</f>
        <v>145365</v>
      </c>
      <c r="G16" s="76">
        <f>SUM(G8:G15)</f>
        <v>167715</v>
      </c>
      <c r="H16" s="415">
        <f>SUM(H8:H15)</f>
        <v>117600</v>
      </c>
    </row>
    <row r="17" spans="1:8" ht="15.75" x14ac:dyDescent="0.25">
      <c r="A17" s="78"/>
      <c r="B17" s="55"/>
      <c r="C17" s="38"/>
      <c r="D17" s="38"/>
      <c r="E17" s="39"/>
      <c r="F17" s="68"/>
      <c r="G17" s="65"/>
      <c r="H17" s="202"/>
    </row>
    <row r="18" spans="1:8" ht="15.75" x14ac:dyDescent="0.25">
      <c r="A18" s="78" t="s">
        <v>75</v>
      </c>
      <c r="B18" s="55">
        <v>1196</v>
      </c>
      <c r="C18" s="38"/>
      <c r="D18" s="38">
        <v>20000</v>
      </c>
      <c r="E18" s="39">
        <v>20000</v>
      </c>
      <c r="F18" s="68">
        <v>20000</v>
      </c>
      <c r="G18" s="65">
        <v>20000</v>
      </c>
      <c r="H18" s="202">
        <v>20000</v>
      </c>
    </row>
    <row r="19" spans="1:8" ht="15.75" x14ac:dyDescent="0.25">
      <c r="A19" s="85"/>
      <c r="B19" s="206"/>
      <c r="C19" s="86"/>
      <c r="D19" s="86"/>
      <c r="E19" s="159"/>
      <c r="F19" s="87"/>
      <c r="G19" s="88"/>
      <c r="H19" s="416"/>
    </row>
    <row r="20" spans="1:8" ht="15.75" x14ac:dyDescent="0.25">
      <c r="A20" s="74" t="s">
        <v>76</v>
      </c>
      <c r="B20" s="50"/>
      <c r="C20" s="51"/>
      <c r="D20" s="51">
        <f>+D16+D18</f>
        <v>129100</v>
      </c>
      <c r="E20" s="158">
        <f>+E16+E18</f>
        <v>163115</v>
      </c>
      <c r="F20" s="76">
        <f>+F16+F18</f>
        <v>165365</v>
      </c>
      <c r="G20" s="77">
        <f>+G16+G18</f>
        <v>187715</v>
      </c>
      <c r="H20" s="415">
        <f>+H16+H18</f>
        <v>137600</v>
      </c>
    </row>
    <row r="21" spans="1:8" ht="15.75" x14ac:dyDescent="0.25">
      <c r="A21" s="78"/>
      <c r="B21" s="55"/>
      <c r="C21" s="38"/>
      <c r="D21" s="38"/>
      <c r="E21" s="413"/>
      <c r="F21" s="414"/>
      <c r="G21" s="424"/>
      <c r="H21" s="448"/>
    </row>
    <row r="22" spans="1:8" ht="15.75" x14ac:dyDescent="0.25">
      <c r="A22" s="81" t="s">
        <v>77</v>
      </c>
      <c r="B22" s="42"/>
      <c r="C22" s="43"/>
      <c r="D22" s="43"/>
      <c r="E22" s="405"/>
      <c r="F22" s="407"/>
      <c r="G22" s="408"/>
      <c r="H22" s="449"/>
    </row>
    <row r="23" spans="1:8" ht="15.75" x14ac:dyDescent="0.25">
      <c r="A23" s="366" t="s">
        <v>78</v>
      </c>
      <c r="B23" s="207">
        <v>1999</v>
      </c>
      <c r="C23" s="43"/>
      <c r="D23" s="113">
        <v>24000</v>
      </c>
      <c r="E23" s="111">
        <f>+E13+E14</f>
        <v>29300</v>
      </c>
      <c r="F23" s="71">
        <f>+F13+F14</f>
        <v>8000</v>
      </c>
      <c r="G23" s="71">
        <f>+G13+G14</f>
        <v>32800</v>
      </c>
      <c r="H23" s="310">
        <f>+H13+H14</f>
        <v>30300</v>
      </c>
    </row>
    <row r="24" spans="1:8" ht="15.75" x14ac:dyDescent="0.25">
      <c r="A24" s="363" t="s">
        <v>79</v>
      </c>
      <c r="B24" s="42">
        <v>1999</v>
      </c>
      <c r="C24" s="43"/>
      <c r="D24" s="43">
        <v>50500</v>
      </c>
      <c r="E24" s="70">
        <f>58000+24500-2100</f>
        <v>80400</v>
      </c>
      <c r="F24" s="371">
        <f>80000+15000-3800</f>
        <v>91200</v>
      </c>
      <c r="G24" s="371">
        <f>88500+9500-5800</f>
        <v>92200</v>
      </c>
      <c r="H24" s="417">
        <f>88500-13200-16000</f>
        <v>59300</v>
      </c>
    </row>
    <row r="25" spans="1:8" ht="15.75" x14ac:dyDescent="0.25">
      <c r="A25" s="367" t="s">
        <v>80</v>
      </c>
      <c r="B25" s="46">
        <v>1196</v>
      </c>
      <c r="C25" s="47"/>
      <c r="D25" s="291">
        <v>20000</v>
      </c>
      <c r="E25" s="39">
        <v>20000</v>
      </c>
      <c r="F25" s="68">
        <v>20000</v>
      </c>
      <c r="G25" s="65">
        <v>20000</v>
      </c>
      <c r="H25" s="202">
        <v>20000</v>
      </c>
    </row>
    <row r="26" spans="1:8" ht="15.75" x14ac:dyDescent="0.25">
      <c r="A26" s="368" t="s">
        <v>81</v>
      </c>
      <c r="B26" s="50"/>
      <c r="C26" s="51"/>
      <c r="D26" s="51">
        <f>SUM(D22:D25)</f>
        <v>94500</v>
      </c>
      <c r="E26" s="158">
        <f>SUM(E22:E25)</f>
        <v>129700</v>
      </c>
      <c r="F26" s="76">
        <f>SUM(F22:F25)</f>
        <v>119200</v>
      </c>
      <c r="G26" s="76">
        <f>SUM(G22:G25)</f>
        <v>145000</v>
      </c>
      <c r="H26" s="415">
        <f>SUM(H22:H25)</f>
        <v>109600</v>
      </c>
    </row>
    <row r="27" spans="1:8" ht="15.75" x14ac:dyDescent="0.25">
      <c r="A27" s="369"/>
      <c r="B27" s="195"/>
      <c r="C27" s="161"/>
      <c r="D27" s="161"/>
      <c r="E27" s="162"/>
      <c r="F27" s="163"/>
      <c r="G27" s="163"/>
      <c r="H27" s="418"/>
    </row>
    <row r="28" spans="1:8" ht="15.75" x14ac:dyDescent="0.25">
      <c r="A28" s="363" t="s">
        <v>169</v>
      </c>
      <c r="B28" s="295">
        <v>1999</v>
      </c>
      <c r="C28" s="43"/>
      <c r="D28" s="43">
        <v>2950</v>
      </c>
      <c r="E28" s="450">
        <f>2950-500-615</f>
        <v>1835</v>
      </c>
      <c r="F28" s="451">
        <f>2950-1450+1485-500</f>
        <v>2485</v>
      </c>
      <c r="G28" s="437">
        <f>2950+1625+1000</f>
        <v>5575</v>
      </c>
      <c r="H28" s="310">
        <f>2950+2000</f>
        <v>4950</v>
      </c>
    </row>
    <row r="29" spans="1:8" ht="15.75" x14ac:dyDescent="0.25">
      <c r="A29" s="363" t="s">
        <v>202</v>
      </c>
      <c r="B29" s="295">
        <v>1999</v>
      </c>
      <c r="C29" s="43"/>
      <c r="D29" s="43">
        <v>5000</v>
      </c>
      <c r="E29" s="450">
        <v>0</v>
      </c>
      <c r="F29" s="79">
        <v>4000</v>
      </c>
      <c r="G29" s="71">
        <v>4000</v>
      </c>
      <c r="H29" s="310">
        <v>4000</v>
      </c>
    </row>
    <row r="30" spans="1:8" ht="15.75" x14ac:dyDescent="0.25">
      <c r="A30" s="370"/>
      <c r="B30" s="295"/>
      <c r="C30" s="43"/>
      <c r="D30" s="43"/>
      <c r="E30" s="70"/>
      <c r="F30" s="79"/>
      <c r="G30" s="71"/>
      <c r="H30" s="310"/>
    </row>
    <row r="31" spans="1:8" ht="15.75" x14ac:dyDescent="0.25">
      <c r="A31" s="370" t="s">
        <v>82</v>
      </c>
      <c r="B31" s="295"/>
      <c r="C31" s="43"/>
      <c r="D31" s="43"/>
      <c r="E31" s="70"/>
      <c r="F31" s="79"/>
      <c r="G31" s="71"/>
      <c r="H31" s="310"/>
    </row>
    <row r="32" spans="1:8" ht="15.75" x14ac:dyDescent="0.25">
      <c r="A32" s="363" t="s">
        <v>314</v>
      </c>
      <c r="B32" s="295">
        <v>1999</v>
      </c>
      <c r="C32" s="43"/>
      <c r="D32" s="43">
        <v>11500</v>
      </c>
      <c r="E32" s="450">
        <f>12500+850</f>
        <v>13350</v>
      </c>
      <c r="F32" s="437">
        <f>17000+250</f>
        <v>17250</v>
      </c>
      <c r="G32" s="437">
        <f>19000-660</f>
        <v>18340</v>
      </c>
      <c r="H32" s="452">
        <f>17000-800</f>
        <v>16200</v>
      </c>
    </row>
    <row r="33" spans="1:9" ht="15.75" x14ac:dyDescent="0.25">
      <c r="A33" s="363" t="s">
        <v>315</v>
      </c>
      <c r="B33" s="295">
        <v>1999</v>
      </c>
      <c r="C33" s="43"/>
      <c r="D33" s="43">
        <v>450</v>
      </c>
      <c r="E33" s="450">
        <v>0</v>
      </c>
      <c r="F33" s="437">
        <v>0</v>
      </c>
      <c r="G33" s="437">
        <v>0</v>
      </c>
      <c r="H33" s="417"/>
    </row>
    <row r="34" spans="1:9" ht="15.75" x14ac:dyDescent="0.25">
      <c r="A34" s="69" t="s">
        <v>448</v>
      </c>
      <c r="B34" s="295">
        <v>1999</v>
      </c>
      <c r="C34" s="43"/>
      <c r="D34" s="43"/>
      <c r="E34" s="450">
        <v>1500</v>
      </c>
      <c r="F34" s="71"/>
      <c r="G34" s="71"/>
      <c r="H34" s="310"/>
    </row>
    <row r="35" spans="1:9" ht="15.75" x14ac:dyDescent="0.25">
      <c r="A35" s="69" t="s">
        <v>345</v>
      </c>
      <c r="B35" s="295">
        <v>1896</v>
      </c>
      <c r="C35" s="43"/>
      <c r="D35" s="43">
        <v>3000</v>
      </c>
      <c r="E35" s="70"/>
      <c r="F35" s="71"/>
      <c r="G35" s="71"/>
      <c r="H35" s="310"/>
    </row>
    <row r="36" spans="1:9" ht="15.75" x14ac:dyDescent="0.25">
      <c r="A36" s="69" t="s">
        <v>103</v>
      </c>
      <c r="B36" s="312">
        <v>1999</v>
      </c>
      <c r="C36" s="43"/>
      <c r="D36" s="43">
        <v>2950</v>
      </c>
      <c r="E36" s="70">
        <v>2950</v>
      </c>
      <c r="F36" s="71">
        <v>2950</v>
      </c>
      <c r="G36" s="71">
        <v>2950</v>
      </c>
      <c r="H36" s="310">
        <v>2950</v>
      </c>
      <c r="I36" s="213" t="s">
        <v>168</v>
      </c>
    </row>
    <row r="37" spans="1:9" ht="16.5" customHeight="1" x14ac:dyDescent="0.25">
      <c r="A37" s="69" t="s">
        <v>14</v>
      </c>
      <c r="B37" s="312">
        <v>1140</v>
      </c>
      <c r="C37" s="43"/>
      <c r="D37" s="43">
        <v>5000</v>
      </c>
      <c r="E37" s="70">
        <v>4000</v>
      </c>
      <c r="F37" s="71">
        <v>4000</v>
      </c>
      <c r="G37" s="71">
        <v>4000</v>
      </c>
      <c r="H37" s="310">
        <v>4000</v>
      </c>
    </row>
    <row r="38" spans="1:9" ht="16.5" customHeight="1" x14ac:dyDescent="0.25">
      <c r="A38" s="69" t="s">
        <v>15</v>
      </c>
      <c r="B38" s="312">
        <v>1140</v>
      </c>
      <c r="C38" s="43"/>
      <c r="D38" s="43">
        <v>15000</v>
      </c>
      <c r="E38" s="70">
        <v>10000</v>
      </c>
      <c r="F38" s="71">
        <v>25000</v>
      </c>
      <c r="G38" s="71">
        <v>25000</v>
      </c>
      <c r="H38" s="452">
        <f>15000-3200</f>
        <v>11800</v>
      </c>
    </row>
    <row r="39" spans="1:9" ht="16.5" customHeight="1" x14ac:dyDescent="0.25">
      <c r="A39" s="114" t="s">
        <v>197</v>
      </c>
      <c r="B39" s="333">
        <v>1999</v>
      </c>
      <c r="C39" s="62"/>
      <c r="D39" s="62">
        <v>2000</v>
      </c>
      <c r="E39" s="70">
        <v>2000</v>
      </c>
      <c r="F39" s="437">
        <v>2000</v>
      </c>
      <c r="G39" s="437">
        <v>2000</v>
      </c>
      <c r="H39" s="452">
        <v>2000</v>
      </c>
    </row>
    <row r="40" spans="1:9" ht="15.75" x14ac:dyDescent="0.25">
      <c r="A40" s="69" t="s">
        <v>222</v>
      </c>
      <c r="B40" s="312"/>
      <c r="C40" s="43"/>
      <c r="D40" s="43"/>
      <c r="E40" s="70"/>
      <c r="F40" s="71"/>
      <c r="G40" s="71"/>
      <c r="H40" s="310"/>
    </row>
    <row r="41" spans="1:9" ht="15.75" x14ac:dyDescent="0.25">
      <c r="A41" s="69" t="s">
        <v>449</v>
      </c>
      <c r="B41" s="312">
        <v>1999</v>
      </c>
      <c r="C41" s="43"/>
      <c r="D41" s="43"/>
      <c r="E41" s="450">
        <v>250</v>
      </c>
      <c r="F41" s="437">
        <v>250</v>
      </c>
      <c r="G41" s="71"/>
      <c r="H41" s="310"/>
    </row>
    <row r="42" spans="1:9" ht="15.75" x14ac:dyDescent="0.25">
      <c r="A42" s="69" t="s">
        <v>337</v>
      </c>
      <c r="B42" s="312">
        <v>1999</v>
      </c>
      <c r="C42" s="43"/>
      <c r="D42" s="43">
        <v>2650</v>
      </c>
      <c r="E42" s="70">
        <v>1200</v>
      </c>
      <c r="F42" s="71">
        <v>1200</v>
      </c>
      <c r="G42" s="71"/>
      <c r="H42" s="310"/>
    </row>
    <row r="43" spans="1:9" ht="15.75" x14ac:dyDescent="0.25">
      <c r="A43" s="74" t="s">
        <v>83</v>
      </c>
      <c r="B43" s="208"/>
      <c r="C43" s="51"/>
      <c r="D43" s="51">
        <f>SUM(D31:D42)</f>
        <v>42550</v>
      </c>
      <c r="E43" s="158">
        <f>SUM(E31:E42)</f>
        <v>35250</v>
      </c>
      <c r="F43" s="76">
        <f>SUM(F31:F42)</f>
        <v>52650</v>
      </c>
      <c r="G43" s="76">
        <f>SUM(G31:G42)</f>
        <v>52290</v>
      </c>
      <c r="H43" s="415">
        <f>SUM(H31:H42)</f>
        <v>36950</v>
      </c>
    </row>
    <row r="44" spans="1:9" ht="15.75" x14ac:dyDescent="0.25">
      <c r="A44" s="81"/>
      <c r="B44" s="42"/>
      <c r="C44" s="43"/>
      <c r="D44" s="43"/>
      <c r="E44" s="70"/>
      <c r="F44" s="79"/>
      <c r="G44" s="71"/>
      <c r="H44" s="310"/>
    </row>
    <row r="45" spans="1:9" ht="15.75" x14ac:dyDescent="0.25">
      <c r="A45" s="81"/>
      <c r="B45" s="42"/>
      <c r="C45" s="43"/>
      <c r="D45" s="43"/>
      <c r="E45" s="70"/>
      <c r="F45" s="79"/>
      <c r="G45" s="71"/>
      <c r="H45" s="310"/>
    </row>
    <row r="46" spans="1:9" ht="15.75" x14ac:dyDescent="0.25">
      <c r="A46" s="81"/>
      <c r="B46" s="42"/>
      <c r="C46" s="43"/>
      <c r="D46" s="43"/>
      <c r="E46" s="70"/>
      <c r="F46" s="79"/>
      <c r="G46" s="71"/>
      <c r="H46" s="310"/>
    </row>
    <row r="47" spans="1:9" ht="15.75" x14ac:dyDescent="0.25">
      <c r="A47" s="81"/>
      <c r="B47" s="42"/>
      <c r="C47" s="43"/>
      <c r="D47" s="43"/>
      <c r="E47" s="70"/>
      <c r="F47" s="79"/>
      <c r="G47" s="71"/>
      <c r="H47" s="310"/>
    </row>
    <row r="48" spans="1:9" ht="15.75" x14ac:dyDescent="0.25">
      <c r="A48" s="81"/>
      <c r="B48" s="42"/>
      <c r="C48" s="43"/>
      <c r="D48" s="43"/>
      <c r="E48" s="70"/>
      <c r="F48" s="79"/>
      <c r="G48" s="71"/>
      <c r="H48" s="310"/>
    </row>
    <row r="49" spans="1:8" ht="15.75" x14ac:dyDescent="0.25">
      <c r="A49" s="81"/>
      <c r="B49" s="42"/>
      <c r="C49" s="43"/>
      <c r="D49" s="43"/>
      <c r="E49" s="70"/>
      <c r="F49" s="79"/>
      <c r="G49" s="71"/>
      <c r="H49" s="71"/>
    </row>
    <row r="50" spans="1:8" ht="15.75" x14ac:dyDescent="0.25">
      <c r="A50" s="81"/>
      <c r="B50" s="42"/>
      <c r="C50" s="43"/>
      <c r="D50" s="43"/>
      <c r="E50" s="70"/>
      <c r="F50" s="79"/>
      <c r="G50" s="71"/>
      <c r="H50" s="71"/>
    </row>
    <row r="51" spans="1:8" ht="15.75" x14ac:dyDescent="0.25">
      <c r="A51" s="81"/>
      <c r="B51" s="42"/>
      <c r="C51" s="43"/>
      <c r="D51" s="43"/>
      <c r="E51" s="70"/>
      <c r="F51" s="79"/>
      <c r="G51" s="71"/>
      <c r="H51" s="71"/>
    </row>
    <row r="52" spans="1:8" ht="15.75" x14ac:dyDescent="0.25">
      <c r="A52" s="81"/>
      <c r="B52" s="42"/>
      <c r="C52" s="43"/>
      <c r="D52" s="43"/>
      <c r="E52" s="70"/>
      <c r="F52" s="79"/>
      <c r="G52" s="71"/>
      <c r="H52" s="71"/>
    </row>
    <row r="53" spans="1:8" ht="15.75" x14ac:dyDescent="0.25">
      <c r="A53" s="81"/>
      <c r="B53" s="42"/>
      <c r="C53" s="43"/>
      <c r="D53" s="43"/>
      <c r="E53" s="70"/>
      <c r="F53" s="79"/>
      <c r="G53" s="71"/>
      <c r="H53" s="71"/>
    </row>
    <row r="54" spans="1:8" ht="15.75" x14ac:dyDescent="0.25">
      <c r="A54" s="81"/>
      <c r="B54" s="42"/>
      <c r="C54" s="43"/>
      <c r="D54" s="43"/>
      <c r="E54" s="70"/>
      <c r="F54" s="79"/>
      <c r="G54" s="71"/>
      <c r="H54" s="71"/>
    </row>
    <row r="55" spans="1:8" ht="15.75" x14ac:dyDescent="0.25">
      <c r="A55" s="81"/>
      <c r="B55" s="42"/>
      <c r="C55" s="43"/>
      <c r="D55" s="43"/>
      <c r="E55" s="70"/>
      <c r="F55" s="79"/>
      <c r="G55" s="71"/>
      <c r="H55" s="71"/>
    </row>
    <row r="56" spans="1:8" ht="15.75" x14ac:dyDescent="0.25">
      <c r="A56" s="81"/>
      <c r="B56" s="42"/>
      <c r="C56" s="43"/>
      <c r="D56" s="43"/>
      <c r="E56" s="70"/>
      <c r="F56" s="79"/>
      <c r="G56" s="71"/>
      <c r="H56" s="71"/>
    </row>
    <row r="57" spans="1:8" ht="16.5" thickBot="1" x14ac:dyDescent="0.3">
      <c r="A57" s="81"/>
      <c r="B57" s="42"/>
      <c r="C57" s="43"/>
      <c r="D57" s="43"/>
      <c r="E57" s="70"/>
      <c r="F57" s="79"/>
      <c r="G57" s="71"/>
      <c r="H57" s="71"/>
    </row>
    <row r="58" spans="1:8" ht="16.5" thickBot="1" x14ac:dyDescent="0.3">
      <c r="A58" s="89" t="s">
        <v>84</v>
      </c>
      <c r="B58" s="209"/>
      <c r="C58" s="91"/>
      <c r="D58" s="91">
        <f>+D20-D26-D43+D28+D29</f>
        <v>0</v>
      </c>
      <c r="E58" s="126">
        <f>+E20-E26-E43+E29+E28</f>
        <v>0</v>
      </c>
      <c r="F58" s="311">
        <f>+F20-F26-F43+F29+F28</f>
        <v>0</v>
      </c>
      <c r="G58" s="311">
        <f>+G20-G26-G43+G29+G28</f>
        <v>0</v>
      </c>
      <c r="H58" s="311">
        <f>+H20-H26-H43+H29+H28</f>
        <v>0</v>
      </c>
    </row>
    <row r="61" spans="1:8" x14ac:dyDescent="0.2">
      <c r="A61" s="419"/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3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30</vt:i4>
      </vt:variant>
    </vt:vector>
  </HeadingPairs>
  <TitlesOfParts>
    <vt:vector size="46" baseType="lpstr">
      <vt:lpstr>Forklaring</vt:lpstr>
      <vt:lpstr>Resultat</vt:lpstr>
      <vt:lpstr>D_Sentr_</vt:lpstr>
      <vt:lpstr>D_Kirken</vt:lpstr>
      <vt:lpstr>D_Kap 7</vt:lpstr>
      <vt:lpstr>D_Ku-Oppv</vt:lpstr>
      <vt:lpstr>D_H_O</vt:lpstr>
      <vt:lpstr>D_Teknisk</vt:lpstr>
      <vt:lpstr>Inv_totalt</vt:lpstr>
      <vt:lpstr>I_Sentr_</vt:lpstr>
      <vt:lpstr>I_Kirken</vt:lpstr>
      <vt:lpstr>I_Ku-Oppv</vt:lpstr>
      <vt:lpstr>I_H_O</vt:lpstr>
      <vt:lpstr>I_VAR</vt:lpstr>
      <vt:lpstr>I_Teknisk</vt:lpstr>
      <vt:lpstr>Ark1</vt:lpstr>
      <vt:lpstr>Excel_BuiltIn_Print_Area_2</vt:lpstr>
      <vt:lpstr>Excel_BuiltIn_Print_Area_6_1</vt:lpstr>
      <vt:lpstr>D_H_O!Utskriftsområde</vt:lpstr>
      <vt:lpstr>'D_Kap 7'!Utskriftsområde</vt:lpstr>
      <vt:lpstr>D_Kirken!Utskriftsområde</vt:lpstr>
      <vt:lpstr>'D_Ku-Oppv'!Utskriftsområde</vt:lpstr>
      <vt:lpstr>D_Sentr_!Utskriftsområde</vt:lpstr>
      <vt:lpstr>D_Teknisk!Utskriftsområde</vt:lpstr>
      <vt:lpstr>Forklaring!Utskriftsområde</vt:lpstr>
      <vt:lpstr>I_H_O!Utskriftsområde</vt:lpstr>
      <vt:lpstr>I_Kirken!Utskriftsområde</vt:lpstr>
      <vt:lpstr>'I_Ku-Oppv'!Utskriftsområde</vt:lpstr>
      <vt:lpstr>I_Sentr_!Utskriftsområde</vt:lpstr>
      <vt:lpstr>I_Teknisk!Utskriftsområde</vt:lpstr>
      <vt:lpstr>I_VAR!Utskriftsområde</vt:lpstr>
      <vt:lpstr>Inv_totalt!Utskriftsområde</vt:lpstr>
      <vt:lpstr>Resultat!Utskriftsområde</vt:lpstr>
      <vt:lpstr>D_H_O!Utskriftstitler</vt:lpstr>
      <vt:lpstr>'D_Kap 7'!Utskriftstitler</vt:lpstr>
      <vt:lpstr>D_Kirken!Utskriftstitler</vt:lpstr>
      <vt:lpstr>'D_Ku-Oppv'!Utskriftstitler</vt:lpstr>
      <vt:lpstr>D_Sentr_!Utskriftstitler</vt:lpstr>
      <vt:lpstr>D_Teknisk!Utskriftstitler</vt:lpstr>
      <vt:lpstr>I_H_O!Utskriftstitler</vt:lpstr>
      <vt:lpstr>I_Kirken!Utskriftstitler</vt:lpstr>
      <vt:lpstr>'I_Ku-Oppv'!Utskriftstitler</vt:lpstr>
      <vt:lpstr>I_Sentr_!Utskriftstitler</vt:lpstr>
      <vt:lpstr>I_Teknisk!Utskriftstitler</vt:lpstr>
      <vt:lpstr>I_VAR!Utskriftstitler</vt:lpstr>
      <vt:lpstr>Inv_totalt!Utskriftstitler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Tore L.  Oliversen</cp:lastModifiedBy>
  <cp:revision>1</cp:revision>
  <cp:lastPrinted>2015-10-28T16:40:05Z</cp:lastPrinted>
  <dcterms:created xsi:type="dcterms:W3CDTF">2003-10-29T07:12:21Z</dcterms:created>
  <dcterms:modified xsi:type="dcterms:W3CDTF">2015-11-18T07:30:46Z</dcterms:modified>
</cp:coreProperties>
</file>