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N:\Budsjett\2020- Budsjett GUL BOK\1 - Budsjett og øko.plan - forslag og forkl\"/>
    </mc:Choice>
  </mc:AlternateContent>
  <xr:revisionPtr revIDLastSave="0" documentId="8_{5BF03B03-A3FA-4F19-8A4A-8A46E399A32F}" xr6:coauthVersionLast="41" xr6:coauthVersionMax="41" xr10:uidLastSave="{00000000-0000-0000-0000-000000000000}"/>
  <bookViews>
    <workbookView xWindow="28680" yWindow="-120" windowWidth="29040" windowHeight="15840" tabRatio="850" activeTab="7" xr2:uid="{00000000-000D-0000-FFFF-FFFF00000000}"/>
  </bookViews>
  <sheets>
    <sheet name="Forklaring" sheetId="18" r:id="rId1"/>
    <sheet name="Resultat" sheetId="1" r:id="rId2"/>
    <sheet name="D_Sentr_" sheetId="2" r:id="rId3"/>
    <sheet name="D_Kirken" sheetId="4" r:id="rId4"/>
    <sheet name="D_Kap 7" sheetId="3" r:id="rId5"/>
    <sheet name="D_Ku-Oppv" sheetId="5" r:id="rId6"/>
    <sheet name="D_H_O" sheetId="6" r:id="rId7"/>
    <sheet name="D_Teknisk" sheetId="9" r:id="rId8"/>
    <sheet name="Inv_totalt" sheetId="10" r:id="rId9"/>
    <sheet name="I_Sentr_" sheetId="11" r:id="rId10"/>
    <sheet name="I_Kirken" sheetId="12" r:id="rId11"/>
    <sheet name="I_Ku-Oppv" sheetId="13" r:id="rId12"/>
    <sheet name="I_H_O" sheetId="14" r:id="rId13"/>
    <sheet name="I_VAR" sheetId="16" r:id="rId14"/>
    <sheet name="I_Teknisk" sheetId="17" r:id="rId15"/>
  </sheets>
  <definedNames>
    <definedName name="Excel_BuiltIn_Print_Area_2">D_Sentr_!$A$1:$G$63</definedName>
    <definedName name="Excel_BuiltIn_Print_Area_6_1">D_H_O!$A$1:$G$58</definedName>
    <definedName name="_xlnm.Print_Area" localSheetId="6">D_H_O!$A$1:$G$58</definedName>
    <definedName name="_xlnm.Print_Area" localSheetId="4">'D_Kap 7'!$A$1:$G$57</definedName>
    <definedName name="_xlnm.Print_Area" localSheetId="3">D_Kirken!$A$1:$G$58</definedName>
    <definedName name="_xlnm.Print_Area" localSheetId="5">'D_Ku-Oppv'!$A$1:$G$58</definedName>
    <definedName name="_xlnm.Print_Area" localSheetId="2">D_Sentr_!$A$1:$G$63</definedName>
    <definedName name="_xlnm.Print_Area" localSheetId="7">D_Teknisk!$A$1:$G$60</definedName>
    <definedName name="_xlnm.Print_Area" localSheetId="0">Forklaring!$A$1:$H$60</definedName>
    <definedName name="_xlnm.Print_Area" localSheetId="12">I_H_O!$A$1:$G$58</definedName>
    <definedName name="_xlnm.Print_Area" localSheetId="10">I_Kirken!$A$1:$G$58</definedName>
    <definedName name="_xlnm.Print_Area" localSheetId="11">'I_Ku-Oppv'!$A$1:$G$58</definedName>
    <definedName name="_xlnm.Print_Area" localSheetId="9">I_Sentr_!$A$1:$G$58</definedName>
    <definedName name="_xlnm.Print_Area" localSheetId="14">I_Teknisk!$A$1:$G$58</definedName>
    <definedName name="_xlnm.Print_Area" localSheetId="13">I_VAR!$A$1:$G$58</definedName>
    <definedName name="_xlnm.Print_Area" localSheetId="8">Inv_totalt!$A$1:$H$55</definedName>
    <definedName name="_xlnm.Print_Area" localSheetId="1">Resultat!$A$1:$I$73</definedName>
    <definedName name="_xlnm.Print_Titles" localSheetId="6">D_H_O!$1:$6</definedName>
    <definedName name="_xlnm.Print_Titles" localSheetId="4">'D_Kap 7'!$1:$6</definedName>
    <definedName name="_xlnm.Print_Titles" localSheetId="3">D_Kirken!$1:$6</definedName>
    <definedName name="_xlnm.Print_Titles" localSheetId="5">'D_Ku-Oppv'!$1:$6</definedName>
    <definedName name="_xlnm.Print_Titles" localSheetId="2">D_Sentr_!$1:$6</definedName>
    <definedName name="_xlnm.Print_Titles" localSheetId="7">D_Teknisk!$1:$6</definedName>
    <definedName name="_xlnm.Print_Titles" localSheetId="12">I_H_O!$1:$6</definedName>
    <definedName name="_xlnm.Print_Titles" localSheetId="10">I_Kirken!$1:$6</definedName>
    <definedName name="_xlnm.Print_Titles" localSheetId="11">'I_Ku-Oppv'!$1:$6</definedName>
    <definedName name="_xlnm.Print_Titles" localSheetId="9">I_Sentr_!$1:$6</definedName>
    <definedName name="_xlnm.Print_Titles" localSheetId="14">I_Teknisk!$1:$6</definedName>
    <definedName name="_xlnm.Print_Titles" localSheetId="13">I_VAR!$1:$6</definedName>
    <definedName name="_xlnm.Print_Titles" localSheetId="8">Inv_totalt!$1:$6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E45" i="10" l="1"/>
  <c r="D36" i="10"/>
  <c r="D24" i="10"/>
  <c r="D23" i="10"/>
  <c r="C32" i="17"/>
  <c r="E17" i="1"/>
  <c r="E10" i="1"/>
  <c r="E8" i="1"/>
  <c r="E7" i="13"/>
  <c r="D9" i="16"/>
  <c r="C9" i="16"/>
  <c r="C8" i="13"/>
  <c r="G41" i="9"/>
  <c r="F41" i="9"/>
  <c r="E41" i="9"/>
  <c r="D41" i="9"/>
  <c r="G7" i="11"/>
  <c r="F7" i="11"/>
  <c r="E7" i="11"/>
  <c r="D7" i="11"/>
  <c r="G24" i="11"/>
  <c r="F24" i="11"/>
  <c r="E24" i="11"/>
  <c r="D24" i="11"/>
  <c r="E26" i="11"/>
  <c r="D26" i="11"/>
  <c r="G20" i="11"/>
  <c r="F20" i="11"/>
  <c r="E20" i="11"/>
  <c r="D20" i="11"/>
  <c r="F27" i="17"/>
  <c r="F21" i="17"/>
  <c r="E21" i="17"/>
  <c r="D21" i="17"/>
  <c r="E9" i="16"/>
  <c r="D14" i="16"/>
  <c r="D18" i="16" s="1"/>
  <c r="G26" i="11"/>
  <c r="F26" i="11"/>
  <c r="G36" i="6"/>
  <c r="G35" i="6"/>
  <c r="F35" i="6"/>
  <c r="E35" i="6"/>
  <c r="D35" i="6"/>
  <c r="F36" i="6"/>
  <c r="E36" i="6"/>
  <c r="D36" i="6"/>
  <c r="G23" i="6"/>
  <c r="F23" i="6"/>
  <c r="E23" i="6"/>
  <c r="D23" i="6"/>
  <c r="C58" i="9"/>
  <c r="G8" i="9" s="1"/>
  <c r="C62" i="2"/>
  <c r="D8" i="2" s="1"/>
  <c r="D15" i="3"/>
  <c r="E15" i="3"/>
  <c r="F15" i="3"/>
  <c r="G15" i="3"/>
  <c r="D11" i="6"/>
  <c r="E11" i="6"/>
  <c r="F11" i="6"/>
  <c r="G11" i="6"/>
  <c r="C15" i="3"/>
  <c r="C11" i="6"/>
  <c r="C45" i="6"/>
  <c r="C11" i="9"/>
  <c r="C43" i="9" s="1"/>
  <c r="D11" i="9"/>
  <c r="E11" i="9"/>
  <c r="F11" i="9"/>
  <c r="G11" i="9" s="1"/>
  <c r="C11" i="5"/>
  <c r="C43" i="5"/>
  <c r="D11" i="5"/>
  <c r="E11" i="5" s="1"/>
  <c r="C11" i="2"/>
  <c r="C41" i="2" s="1"/>
  <c r="C63" i="2" s="1"/>
  <c r="D11" i="2"/>
  <c r="E11" i="2" s="1"/>
  <c r="F11" i="2" s="1"/>
  <c r="G11" i="2" s="1"/>
  <c r="C12" i="3"/>
  <c r="C21" i="3"/>
  <c r="D28" i="10"/>
  <c r="D18" i="10"/>
  <c r="E55" i="1"/>
  <c r="E59" i="1" s="1"/>
  <c r="D55" i="1"/>
  <c r="D63" i="1"/>
  <c r="D61" i="1" s="1"/>
  <c r="D68" i="1" s="1"/>
  <c r="D48" i="1"/>
  <c r="D30" i="1"/>
  <c r="D45" i="1" s="1"/>
  <c r="D29" i="1"/>
  <c r="D18" i="1"/>
  <c r="D17" i="1"/>
  <c r="D52" i="1"/>
  <c r="D51" i="1"/>
  <c r="D21" i="1"/>
  <c r="C50" i="6"/>
  <c r="G14" i="9"/>
  <c r="G48" i="10"/>
  <c r="F8" i="6"/>
  <c r="C49" i="5"/>
  <c r="D8" i="5"/>
  <c r="C13" i="4"/>
  <c r="C17" i="3"/>
  <c r="G36" i="16"/>
  <c r="H14" i="10"/>
  <c r="G18" i="16"/>
  <c r="H13" i="10" s="1"/>
  <c r="D36" i="16"/>
  <c r="D58" i="17"/>
  <c r="E15" i="10"/>
  <c r="E18" i="16"/>
  <c r="F13" i="10"/>
  <c r="F26" i="1"/>
  <c r="C58" i="11"/>
  <c r="D9" i="10" s="1"/>
  <c r="C58" i="14"/>
  <c r="D12" i="10" s="1"/>
  <c r="D58" i="11"/>
  <c r="E9" i="10" s="1"/>
  <c r="D58" i="14"/>
  <c r="E12" i="10" s="1"/>
  <c r="D58" i="13"/>
  <c r="E11" i="10" s="1"/>
  <c r="E48" i="10"/>
  <c r="E58" i="11"/>
  <c r="F9" i="10"/>
  <c r="E58" i="14"/>
  <c r="F12" i="10"/>
  <c r="E58" i="12"/>
  <c r="F10" i="10"/>
  <c r="E58" i="13"/>
  <c r="F11" i="10"/>
  <c r="E58" i="17"/>
  <c r="F15" i="10"/>
  <c r="F48" i="10"/>
  <c r="F58" i="11"/>
  <c r="G9" i="10" s="1"/>
  <c r="F58" i="14"/>
  <c r="G12" i="10" s="1"/>
  <c r="F58" i="13"/>
  <c r="G11" i="10" s="1"/>
  <c r="F58" i="17"/>
  <c r="G15" i="10" s="1"/>
  <c r="C58" i="12"/>
  <c r="D10" i="10" s="1"/>
  <c r="D58" i="12"/>
  <c r="E10" i="10" s="1"/>
  <c r="F58" i="12"/>
  <c r="G10" i="10" s="1"/>
  <c r="G58" i="12"/>
  <c r="H10" i="10" s="1"/>
  <c r="G8" i="2"/>
  <c r="G58" i="11"/>
  <c r="H9" i="10"/>
  <c r="G58" i="17"/>
  <c r="H15" i="10"/>
  <c r="G58" i="13"/>
  <c r="H11" i="10"/>
  <c r="C27" i="3"/>
  <c r="F8" i="3"/>
  <c r="C17" i="4"/>
  <c r="E36" i="16"/>
  <c r="F14" i="10" s="1"/>
  <c r="F16" i="10" s="1"/>
  <c r="F20" i="10" s="1"/>
  <c r="F45" i="1"/>
  <c r="F59" i="1"/>
  <c r="G45" i="1"/>
  <c r="G26" i="1"/>
  <c r="G59" i="1"/>
  <c r="H45" i="1"/>
  <c r="H26" i="1"/>
  <c r="H59" i="1"/>
  <c r="I45" i="1"/>
  <c r="I26" i="1"/>
  <c r="I59" i="1"/>
  <c r="F18" i="16"/>
  <c r="G13" i="10"/>
  <c r="F36" i="16"/>
  <c r="G14" i="10"/>
  <c r="G23" i="10" s="1"/>
  <c r="G29" i="10" s="1"/>
  <c r="G58" i="14"/>
  <c r="H12" i="10"/>
  <c r="H48" i="10"/>
  <c r="C58" i="17"/>
  <c r="D15" i="10" s="1"/>
  <c r="C58" i="13"/>
  <c r="D11" i="10" s="1"/>
  <c r="C18" i="16"/>
  <c r="D13" i="10" s="1"/>
  <c r="C36" i="16"/>
  <c r="D14" i="10" s="1"/>
  <c r="D29" i="10"/>
  <c r="D48" i="10"/>
  <c r="E45" i="1"/>
  <c r="C58" i="5"/>
  <c r="E64" i="1"/>
  <c r="L64" i="1" s="1"/>
  <c r="D8" i="4"/>
  <c r="G8" i="4"/>
  <c r="F8" i="4"/>
  <c r="E8" i="4"/>
  <c r="C58" i="4"/>
  <c r="D7" i="4" s="1"/>
  <c r="E8" i="5"/>
  <c r="F8" i="5"/>
  <c r="G8" i="5"/>
  <c r="G8" i="3"/>
  <c r="D8" i="3"/>
  <c r="E8" i="3"/>
  <c r="C57" i="3"/>
  <c r="E62" i="1" s="1"/>
  <c r="L62" i="1" s="1"/>
  <c r="E8" i="6"/>
  <c r="C58" i="6"/>
  <c r="E14" i="10"/>
  <c r="E58" i="16"/>
  <c r="G8" i="6"/>
  <c r="D8" i="6"/>
  <c r="F8" i="2"/>
  <c r="E8" i="2"/>
  <c r="E65" i="1"/>
  <c r="L65" i="1" s="1"/>
  <c r="D7" i="5"/>
  <c r="D7" i="6"/>
  <c r="F7" i="6" s="1"/>
  <c r="F58" i="6" s="1"/>
  <c r="H65" i="1" s="1"/>
  <c r="D58" i="6"/>
  <c r="G7" i="5"/>
  <c r="D58" i="5"/>
  <c r="F64" i="1" s="1"/>
  <c r="F7" i="5"/>
  <c r="E7" i="5"/>
  <c r="G7" i="6"/>
  <c r="G58" i="6" s="1"/>
  <c r="I65" i="1" s="1"/>
  <c r="F65" i="1"/>
  <c r="E7" i="4" l="1"/>
  <c r="E58" i="4" s="1"/>
  <c r="G63" i="1" s="1"/>
  <c r="D58" i="4"/>
  <c r="F63" i="1" s="1"/>
  <c r="G7" i="4"/>
  <c r="G58" i="4" s="1"/>
  <c r="I63" i="1" s="1"/>
  <c r="F7" i="4"/>
  <c r="F58" i="4" s="1"/>
  <c r="H63" i="1" s="1"/>
  <c r="D7" i="2"/>
  <c r="E61" i="1"/>
  <c r="E58" i="5"/>
  <c r="G64" i="1" s="1"/>
  <c r="F11" i="5"/>
  <c r="E13" i="10"/>
  <c r="E23" i="10" s="1"/>
  <c r="E29" i="10" s="1"/>
  <c r="D58" i="16"/>
  <c r="E16" i="10"/>
  <c r="E20" i="10" s="1"/>
  <c r="E55" i="10" s="1"/>
  <c r="F23" i="10"/>
  <c r="F29" i="10" s="1"/>
  <c r="F55" i="10" s="1"/>
  <c r="D16" i="10"/>
  <c r="D20" i="10" s="1"/>
  <c r="D55" i="10" s="1"/>
  <c r="E63" i="1"/>
  <c r="L61" i="1" s="1"/>
  <c r="D7" i="3"/>
  <c r="E7" i="6"/>
  <c r="E58" i="6" s="1"/>
  <c r="G65" i="1" s="1"/>
  <c r="C58" i="16"/>
  <c r="D26" i="1"/>
  <c r="D59" i="1"/>
  <c r="L69" i="1"/>
  <c r="E26" i="1"/>
  <c r="L68" i="1" s="1"/>
  <c r="E8" i="9"/>
  <c r="G16" i="10"/>
  <c r="G20" i="10" s="1"/>
  <c r="G55" i="10" s="1"/>
  <c r="F58" i="16"/>
  <c r="H23" i="10"/>
  <c r="H29" i="10" s="1"/>
  <c r="H16" i="10"/>
  <c r="H20" i="10" s="1"/>
  <c r="H55" i="10" s="1"/>
  <c r="G58" i="16"/>
  <c r="D8" i="9"/>
  <c r="C60" i="9"/>
  <c r="D7" i="9" s="1"/>
  <c r="F7" i="9" s="1"/>
  <c r="F8" i="9"/>
  <c r="F58" i="5" l="1"/>
  <c r="H64" i="1" s="1"/>
  <c r="G11" i="5"/>
  <c r="G58" i="5" s="1"/>
  <c r="I64" i="1" s="1"/>
  <c r="E67" i="1"/>
  <c r="E68" i="1" s="1"/>
  <c r="E70" i="1" s="1"/>
  <c r="E7" i="9"/>
  <c r="E60" i="9" s="1"/>
  <c r="G67" i="1" s="1"/>
  <c r="D60" i="9"/>
  <c r="F67" i="1" s="1"/>
  <c r="D70" i="1"/>
  <c r="D57" i="3"/>
  <c r="F62" i="1" s="1"/>
  <c r="E7" i="3"/>
  <c r="E7" i="2"/>
  <c r="E63" i="2" s="1"/>
  <c r="G61" i="1" s="1"/>
  <c r="G7" i="2"/>
  <c r="G63" i="2" s="1"/>
  <c r="I61" i="1" s="1"/>
  <c r="D63" i="2"/>
  <c r="F61" i="1" s="1"/>
  <c r="F7" i="2"/>
  <c r="F63" i="2" s="1"/>
  <c r="H61" i="1" s="1"/>
  <c r="F60" i="9"/>
  <c r="H67" i="1" s="1"/>
  <c r="L67" i="1"/>
  <c r="G7" i="9"/>
  <c r="G60" i="9" s="1"/>
  <c r="I67" i="1" s="1"/>
  <c r="F7" i="3" l="1"/>
  <c r="E57" i="3"/>
  <c r="G62" i="1" s="1"/>
  <c r="G68" i="1" s="1"/>
  <c r="G70" i="1" s="1"/>
  <c r="F68" i="1"/>
  <c r="F70" i="1" s="1"/>
  <c r="F57" i="3" l="1"/>
  <c r="H62" i="1" s="1"/>
  <c r="H68" i="1" s="1"/>
  <c r="H70" i="1" s="1"/>
  <c r="D72" i="1" s="1"/>
  <c r="G7" i="3"/>
  <c r="G57" i="3" s="1"/>
  <c r="I62" i="1" s="1"/>
  <c r="I68" i="1" s="1"/>
  <c r="I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L.  Oliversen</author>
    <author>Jorunn Stapnes</author>
    <author/>
  </authors>
  <commentList>
    <comment ref="B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Flyttet til HO.</t>
        </r>
      </text>
    </comment>
    <comment ref="I4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Jorunn Stapnes:</t>
        </r>
        <r>
          <rPr>
            <sz val="9"/>
            <color indexed="81"/>
            <rFont val="Tahoma"/>
            <family val="2"/>
          </rPr>
          <t xml:space="preserve">
SUD-4
</t>
        </r>
      </text>
    </comment>
    <comment ref="G5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De 1832 og de 2000 er bruk av Lønnspottfondet. De 898 er også en red i bruk av lønnsfondet</t>
        </r>
      </text>
    </comment>
    <comment ref="H5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Bruker 18 mill kr av Premieavviksfondet og 2870 - 22xx  av pensjonsfondet.</t>
        </r>
      </text>
    </comment>
    <comment ref="I5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Sammensetningen av de 33 771 000 kr består av:
5900 - Lønnspottfondet
1000 - Eiendomsskattefondet
2200 - Pensjonsfondet
5500 - flyktningefondet
16 198 - Vertskommunefondet !! 
</t>
        </r>
      </text>
    </comment>
    <comment ref="B66" authorId="2" shapeId="0" xr:uid="{00000000-0006-0000-0100-000007000000}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L.  Oliversen</author>
  </authors>
  <commentList>
    <comment ref="A4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Dette gjelder den stillingen som Tom G har i dag. Seniorrådgiver med juridisk bakgrunn el kompetanse. Denne skal dette innenfor rammen. NB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L.  Oliversen</author>
  </authors>
  <commentList>
    <comment ref="A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Ligger inne 78 mill kr.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L.  Oliversen</author>
  </authors>
  <commentList>
    <comment ref="A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Ligger inne 78 mill kr.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L.  Oliversen</author>
  </authors>
  <commentList>
    <comment ref="A3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30% utgjør 260. Av dette skal VA og INV dekke sine deler. Setter dette til hver sin 1/3. Dvs. går videre med 1/3.</t>
        </r>
      </text>
    </comment>
  </commentList>
</comments>
</file>

<file path=xl/sharedStrings.xml><?xml version="1.0" encoding="utf-8"?>
<sst xmlns="http://schemas.openxmlformats.org/spreadsheetml/2006/main" count="689" uniqueCount="473">
  <si>
    <t xml:space="preserve">Renovering kommunale broer </t>
  </si>
  <si>
    <t>Egenkapitalinnskudd KLP</t>
  </si>
  <si>
    <t>Årlig egenkapitalinnskudd KLP</t>
  </si>
  <si>
    <t>Bruk av Pensjonsfondet (eget fond EK)</t>
  </si>
  <si>
    <t>Salg av tomter</t>
  </si>
  <si>
    <t>Refusjon infrastruktur tomter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</si>
  <si>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</si>
  <si>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</si>
  <si>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</si>
  <si>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</si>
  <si>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</si>
  <si>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</si>
  <si>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</si>
  <si>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</si>
  <si>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</si>
  <si>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</si>
  <si>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</si>
  <si>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</si>
  <si>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</si>
  <si>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</si>
  <si>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</si>
  <si>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Investerings tilskudd GR97</t>
  </si>
  <si>
    <t>Refusjon rentefrie skolelån</t>
  </si>
  <si>
    <t>Kalk. rent./avd.</t>
  </si>
  <si>
    <t>Sum frie disponible inntekter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</si>
  <si>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</si>
  <si>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</si>
  <si>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</si>
  <si>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</si>
  <si>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</si>
  <si>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</si>
  <si>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</si>
  <si>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</si>
  <si>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</si>
  <si>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</si>
  <si>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Netto avsetninger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</si>
  <si>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</si>
  <si>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</si>
  <si>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</si>
  <si>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</si>
  <si>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</si>
  <si>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</si>
  <si>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</si>
  <si>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</si>
  <si>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</si>
  <si>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</si>
  <si>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</si>
  <si>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</si>
  <si>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</si>
  <si>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</si>
  <si>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</si>
  <si>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</si>
  <si>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</si>
  <si>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</si>
  <si>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</si>
  <si>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</si>
  <si>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</si>
  <si>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</si>
  <si>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</si>
  <si>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</si>
  <si>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</si>
  <si>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</si>
  <si>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</si>
  <si>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</si>
  <si>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</si>
  <si>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</si>
  <si>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</si>
  <si>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</si>
  <si>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</si>
  <si>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Sum egenkapital</t>
  </si>
  <si>
    <t>Udekket / udisponert</t>
  </si>
  <si>
    <t>Nettverk</t>
  </si>
  <si>
    <t xml:space="preserve">IP-telefoni </t>
  </si>
  <si>
    <t>IKT-sikkerhet</t>
  </si>
  <si>
    <t>Vann og avløp</t>
  </si>
  <si>
    <t>Sum vannforsyning</t>
  </si>
  <si>
    <t>Tiltak på avløpsnettet</t>
  </si>
  <si>
    <t>Sum avløp</t>
  </si>
  <si>
    <t>Tiltak på veianlegg</t>
  </si>
  <si>
    <t>Egenandel trafikksikerhetstiltak</t>
  </si>
  <si>
    <t>Opprustning lekeplasser</t>
  </si>
  <si>
    <t>Samlet ramme avd. (ex tilbakebet)</t>
  </si>
  <si>
    <t>Skjønnsmidler fra fylkesmannen</t>
  </si>
  <si>
    <t>Fellesfunksjoner - Kap 7</t>
  </si>
  <si>
    <t>Sanering avløpsledning sentrum</t>
  </si>
  <si>
    <t>Avdrag ansvarlig lån Lyse</t>
  </si>
  <si>
    <t>Oppgradering av felles utstyr/servere</t>
  </si>
  <si>
    <t>Friluftsomåder</t>
  </si>
  <si>
    <t>Diverse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</si>
  <si>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</si>
  <si>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</si>
  <si>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</si>
  <si>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</si>
  <si>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</si>
  <si>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</si>
  <si>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</si>
  <si>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</si>
  <si>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</si>
  <si>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</si>
  <si>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</si>
  <si>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</si>
  <si>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</si>
  <si>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I vedlagt </t>
    </r>
    <r>
      <rPr>
        <u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</si>
  <si>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</si>
  <si>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</si>
  <si>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</si>
  <si>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</si>
  <si>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</si>
  <si>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</si>
  <si>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</si>
  <si>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</si>
  <si>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</si>
  <si>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</si>
  <si>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</si>
  <si>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</si>
  <si>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</si>
  <si>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</si>
  <si>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</si>
  <si>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</si>
  <si>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</si>
  <si>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</si>
  <si>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</si>
  <si>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</si>
  <si>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</si>
  <si>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</si>
  <si>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</si>
  <si>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</si>
  <si>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</si>
  <si>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</si>
  <si>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</si>
  <si>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</si>
  <si>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</si>
  <si>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Ressurskrevende tjenester HO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</si>
  <si>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</si>
  <si>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</si>
  <si>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</si>
  <si>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</si>
  <si>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</si>
  <si>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</si>
  <si>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Avsetning til Investeringfondet</t>
  </si>
  <si>
    <t xml:space="preserve">Renteutgifter på lån </t>
  </si>
  <si>
    <t>Avdrag på lån</t>
  </si>
  <si>
    <t>IKT-skolene utskifting eksisterende utstyr</t>
  </si>
  <si>
    <t>Oppgradering av IKT-utstyr – HO</t>
  </si>
  <si>
    <t>Nytt IKT-utstyr skolene (økt tetthet)</t>
  </si>
  <si>
    <t>Eiendomsskatt vindmøller (næring)</t>
  </si>
  <si>
    <t>Brukerbetalinger</t>
  </si>
  <si>
    <t>Brukerbetaling</t>
  </si>
  <si>
    <t>Premieavvik SPK</t>
  </si>
  <si>
    <t>Premieavvik KLP</t>
  </si>
  <si>
    <t>Valg</t>
  </si>
  <si>
    <t>Salg av bygninger</t>
  </si>
  <si>
    <t>Frie avsetninger til Driftsfond</t>
  </si>
  <si>
    <t>Ny gravlund - Egersund</t>
  </si>
  <si>
    <t>Avsetning til Tomteutv.fondet</t>
  </si>
  <si>
    <t>Større renoveringsprosjekt veisektor</t>
  </si>
  <si>
    <t>Bruk/avsetning Finansfondet</t>
  </si>
  <si>
    <t>Teknisk avdeling</t>
  </si>
  <si>
    <t>Kultur og skole</t>
  </si>
  <si>
    <t>Helse- og omsorg</t>
  </si>
  <si>
    <t>Kultur og oppvekst</t>
  </si>
  <si>
    <t>VA-sektoren - selvfinansierende</t>
  </si>
  <si>
    <t>Gatebelysning - utfasing av HQL lyskilder</t>
  </si>
  <si>
    <t>Oppgradering sak-/arkivløsing</t>
  </si>
  <si>
    <t>Overføring til investeringsregnskapet</t>
  </si>
  <si>
    <t>Bundne / frie avsetninger</t>
  </si>
  <si>
    <r>
      <t xml:space="preserve"> * Eksempelet er et </t>
    </r>
    <r>
      <rPr>
        <i/>
        <u/>
        <sz val="12"/>
        <rFont val="Arial"/>
        <family val="2"/>
      </rPr>
      <t>hypotetisk eksempel - dog hentet fra en tidligere økonomiplan.</t>
    </r>
  </si>
  <si>
    <t>Endringer mellom enheter/avd</t>
  </si>
  <si>
    <t xml:space="preserve">Bruk av frie driftsfond </t>
  </si>
  <si>
    <t>Netto inntektsutjevning</t>
  </si>
  <si>
    <t>Felles trådløs nettverksløsning</t>
  </si>
  <si>
    <t>Eigerøy skole - nybygg og oppgradering</t>
  </si>
  <si>
    <t xml:space="preserve">Aase offentlig VA </t>
  </si>
  <si>
    <t>Utskifting mindre maskiner/utstyr/varebil  vei</t>
  </si>
  <si>
    <t>Momsrefusjon</t>
  </si>
  <si>
    <t>Bruk av investeringsfond</t>
  </si>
  <si>
    <t>Flytte lønn til avdelingene lønnsoppgjør</t>
  </si>
  <si>
    <t>Til fordeling investering:</t>
  </si>
  <si>
    <t>Oppgradering software (Office)</t>
  </si>
  <si>
    <t>Oppgradering valglokalene</t>
  </si>
  <si>
    <t>Digitalisering</t>
  </si>
  <si>
    <t>Inventar/teknisk utstyr/utstyr HO</t>
  </si>
  <si>
    <t>Saneringsanlegg Motalaveien</t>
  </si>
  <si>
    <t>Saneringsanlegg Nonsfjellveien</t>
  </si>
  <si>
    <t>Saneringsanlegg Ø. Prestegårdsvei</t>
  </si>
  <si>
    <t>Husabø u skole - Nytt tak + elektrotavle</t>
  </si>
  <si>
    <t>Økte pensjonsutgifter for avd</t>
  </si>
  <si>
    <t>Områderegulering EIE</t>
  </si>
  <si>
    <t>Avsetning lønnspott for budsjett</t>
  </si>
  <si>
    <t>2xxx</t>
  </si>
  <si>
    <t>Boligsosialt velferdsprogram Husbanken</t>
  </si>
  <si>
    <t>VA-ledning i g/s Skjerpe - Krossmoen</t>
  </si>
  <si>
    <t>Bruk av Flyktningefondet</t>
  </si>
  <si>
    <t>SFO-nedgang antall deltakere</t>
  </si>
  <si>
    <t>22x1</t>
  </si>
  <si>
    <t>Sosiale tjenester - samlet</t>
  </si>
  <si>
    <t>Bruk av Vertskommunefondet</t>
  </si>
  <si>
    <t>Renovering skoler/bygninger</t>
  </si>
  <si>
    <t>VA- Leidlandsveien - Krossvikveien</t>
  </si>
  <si>
    <t>Stortingsvalg</t>
  </si>
  <si>
    <t>Tilskudd kirkeordning (Husbanken)</t>
  </si>
  <si>
    <t>Frivillighetstilskudd - nye tiltak</t>
  </si>
  <si>
    <t>Flytting av midler mellom avdelingene</t>
  </si>
  <si>
    <t>Bruk av Driftsfondet</t>
  </si>
  <si>
    <t>9080/9040</t>
  </si>
  <si>
    <t>Omstillingskommune - 3 årig prosjekt</t>
  </si>
  <si>
    <t>Tilskudd Omstillingskommune</t>
  </si>
  <si>
    <t>Visma</t>
  </si>
  <si>
    <t>Kap 8</t>
  </si>
  <si>
    <t>Kap 9</t>
  </si>
  <si>
    <t>Avvik</t>
  </si>
  <si>
    <t>Husleie HO-adm (flyktningefond i 2017)</t>
  </si>
  <si>
    <t xml:space="preserve">Rammetilskudd ekstra </t>
  </si>
  <si>
    <t>Utbytte Svåheia Eiendom AS</t>
  </si>
  <si>
    <t>Utbytte Dalane Energi AS</t>
  </si>
  <si>
    <t>NAV 100% st Flyktninger</t>
  </si>
  <si>
    <t>Økte utgifter - sosiale tjenester</t>
  </si>
  <si>
    <t>Driftstutgifter Hestnes gravlund</t>
  </si>
  <si>
    <t>Endring generelle utgifter</t>
  </si>
  <si>
    <t>Sykkelparkering - Sykkelbyen (skolene)</t>
  </si>
  <si>
    <t>Gravemaskin (belter)</t>
  </si>
  <si>
    <t>100%-st digitalisering/datasikkerhet</t>
  </si>
  <si>
    <t>Driftsutgifter S-bygget Lagård u skole</t>
  </si>
  <si>
    <t>100%-st Prosjektkoordinator FRAM</t>
  </si>
  <si>
    <t>Veiledningstorg FRAM</t>
  </si>
  <si>
    <t>Gevinstrealisering</t>
  </si>
  <si>
    <t>Husleie - Kultur inn i Lerviksgården</t>
  </si>
  <si>
    <t>33XX</t>
  </si>
  <si>
    <t>Blåsenborgveien avlastn.bolig - branntekn.</t>
  </si>
  <si>
    <t>Tilpasning/renovering/inventar skoler/barneh</t>
  </si>
  <si>
    <t>Bruk av Tomteutviklingsfondet</t>
  </si>
  <si>
    <t>Leie og drift - midlertidig brannstasjon</t>
  </si>
  <si>
    <t>Finansposter (Kap. 9)</t>
  </si>
  <si>
    <t>Frie inntekter (Kap. 8)</t>
  </si>
  <si>
    <t>6311, 6771</t>
  </si>
  <si>
    <t>Avsetning/bruk av Flyktningefondet</t>
  </si>
  <si>
    <t>Prosjektering ny brannstasjon</t>
  </si>
  <si>
    <t>Gevinstrealisering SA mot pensjon</t>
  </si>
  <si>
    <t xml:space="preserve">Flytte pensjonsdiff sykepl ordningen </t>
  </si>
  <si>
    <t xml:space="preserve">Flytte pensjonsdiff SPK-ordningen </t>
  </si>
  <si>
    <t>Samlet resultat 2019 - 2022</t>
  </si>
  <si>
    <t>Fratrekk engangsforhold 2018</t>
  </si>
  <si>
    <t>Økte tilskudd - prisstigning</t>
  </si>
  <si>
    <t>Momskompensasjon fra Kap 8 til avd</t>
  </si>
  <si>
    <t>Driftstilskudd ny kunstgressbane Eiger</t>
  </si>
  <si>
    <t>32/37xx</t>
  </si>
  <si>
    <t>Helsestasjon - -Kursmidler COS P (HD-9)</t>
  </si>
  <si>
    <t>6xxx</t>
  </si>
  <si>
    <t>Inventar/teknisk utstyr/utstyr HO økn. (HI-2)</t>
  </si>
  <si>
    <t xml:space="preserve">Dekning underskudd EP KF </t>
  </si>
  <si>
    <t>Økte midler FRAM og omstilling</t>
  </si>
  <si>
    <t>Bemanningsmessige endringer</t>
  </si>
  <si>
    <t>Alternativ mot vold - ordning (EG)</t>
  </si>
  <si>
    <t>Bruk og tilbakeføring av Næringsfondet</t>
  </si>
  <si>
    <t>Bruk av fond Arbeidsmarkedstiltak 2016</t>
  </si>
  <si>
    <t>Eiendomsskatt - annen fast eiendom</t>
  </si>
  <si>
    <t>Eiendomsskatt - verk og bruk</t>
  </si>
  <si>
    <t>Eiendomsskatt - næring</t>
  </si>
  <si>
    <t>Barnevernet - kvalitetsansvarlig/-sikring</t>
  </si>
  <si>
    <t>Krav om gevinstrealisering B2019</t>
  </si>
  <si>
    <t>Fond Utbygging næringsområder</t>
  </si>
  <si>
    <t>Egersundshallen - utsk. vindu + solavskjerming</t>
  </si>
  <si>
    <t>Egersund Torg - renovering</t>
  </si>
  <si>
    <t>Aktivitet i sentrum</t>
  </si>
  <si>
    <t>Tilskudd bygdebok</t>
  </si>
  <si>
    <t>Red. innslagspkt ress.tjenester</t>
  </si>
  <si>
    <t>ENØK-tiltak</t>
  </si>
  <si>
    <t>Avsetning fond rådhus/kulturhus</t>
  </si>
  <si>
    <t>Ref. infrastruktur EN&amp;H-tomter</t>
  </si>
  <si>
    <t>Forstudie Hellvik barnehage</t>
  </si>
  <si>
    <t>Overføring EN&amp;H - Utvikling næringsområder</t>
  </si>
  <si>
    <t>Belysning Maurholen - Eie</t>
  </si>
  <si>
    <t>Ferdigstillelse flomsikring</t>
  </si>
  <si>
    <t>Ekstra bosetting flykting 2019</t>
  </si>
  <si>
    <t>33xx</t>
  </si>
  <si>
    <t>Byggesak - redusert inntekt</t>
  </si>
  <si>
    <t>Flytte driftsmidler Tekn.tj. Lagård til TA</t>
  </si>
  <si>
    <t>Tekn.tj. Lagård fra HO</t>
  </si>
  <si>
    <t>Overskudd 2019 KLP</t>
  </si>
  <si>
    <t>Reduserte pensjonskostnader</t>
  </si>
  <si>
    <t>Budsjett 2020 - økonomiplan 2020 - 2023</t>
  </si>
  <si>
    <t>9000/8010</t>
  </si>
  <si>
    <t>Forstudie svømmehall</t>
  </si>
  <si>
    <t>Finansiering forstudie svømmehall</t>
  </si>
  <si>
    <t>Bruk av lånemidler ny brannst.</t>
  </si>
  <si>
    <t>Bruk av inv.fond ny brannstasjon</t>
  </si>
  <si>
    <t xml:space="preserve">KNA Raceways - engangstilskudd </t>
  </si>
  <si>
    <t>Lån til kirken (Helleland)</t>
  </si>
  <si>
    <t>Avdrag og renter fra kirken (Helleland</t>
  </si>
  <si>
    <t>Kirkestue Helleland lån</t>
  </si>
  <si>
    <t>Bruk av lånemidler (kirken)</t>
  </si>
  <si>
    <t>3xxx</t>
  </si>
  <si>
    <t>Div forhold Statsbudsjett 2019</t>
  </si>
  <si>
    <t>Div. forhold Statsbudsjett 2019</t>
  </si>
  <si>
    <t>Div forhold Statsbud 2019</t>
  </si>
  <si>
    <t>Div. forhold i Statsbudsjett 2020</t>
  </si>
  <si>
    <t>Div forhold Statsbudsjett 2020</t>
  </si>
  <si>
    <t>Statsbud. 2020-Overføring av skatt til staten</t>
  </si>
  <si>
    <t>Øvrig kontroll og revisjon</t>
  </si>
  <si>
    <t>EN&amp;H KF - videref. av tilsk. ang tomtesalg</t>
  </si>
  <si>
    <t>Informasjon og web. - Utg til Custom pub.</t>
  </si>
  <si>
    <t xml:space="preserve">Øk.avd. - 100% rådgiverst. </t>
  </si>
  <si>
    <t>Øk.avd. - 100% controller</t>
  </si>
  <si>
    <t>Pålagte vedl.avt. til nye innførte IKT-løsn.</t>
  </si>
  <si>
    <t xml:space="preserve">Digi Rogaland - medlemskap </t>
  </si>
  <si>
    <t xml:space="preserve">Arkiv - div. lisenser mm </t>
  </si>
  <si>
    <t>Arkiv - 100% stilling som arkivar</t>
  </si>
  <si>
    <t>Juridiske tjenester</t>
  </si>
  <si>
    <t>Revidering av kommuneplan</t>
  </si>
  <si>
    <t>Opplæring politikere (SD-1)</t>
  </si>
  <si>
    <t>10xx</t>
  </si>
  <si>
    <t>Varaordfører - +20% st. (SD-2)</t>
  </si>
  <si>
    <t>IKT - 100% stilling (SD-4)</t>
  </si>
  <si>
    <t>Lederutviklingsprogram (SD-9)</t>
  </si>
  <si>
    <t>Fellessamlinger ledergrp. (SD-10)</t>
  </si>
  <si>
    <t>IKT- vedlikehold/service (SD-13)</t>
  </si>
  <si>
    <t>Beredskap - Cim, nødnett mm (SD-16-18)</t>
  </si>
  <si>
    <t>Div. utgifter Kontrollutvalg/rev. (SD-19)</t>
  </si>
  <si>
    <t>Ny grafisk profil (SD-21)</t>
  </si>
  <si>
    <t xml:space="preserve">Barnevern - Økt ramme tiltak </t>
  </si>
  <si>
    <t>Tidlig innsats/lærernorm tilskudd utgår</t>
  </si>
  <si>
    <t>Voksenoppl. endret vilkår for Norsktilsk.</t>
  </si>
  <si>
    <t>Bibliotek - bøker/medier</t>
  </si>
  <si>
    <t>Barnevern - Barnevernsvakt pålegg FM</t>
  </si>
  <si>
    <t>Utekontakt - Nye lokaler</t>
  </si>
  <si>
    <t>Ungdomsråd - Lovpålagt</t>
  </si>
  <si>
    <t>Barnevern - reduksjon reverseres (KD-11)</t>
  </si>
  <si>
    <t>Barnevern - Botiltak EM nedlegges (KD-12)</t>
  </si>
  <si>
    <t>Barnevernsvakt - Bjerkreim (KD-13)</t>
  </si>
  <si>
    <t>Voksenoppl. lavere inntekter (KD-14)</t>
  </si>
  <si>
    <t>Økt tilskudd private barnehager (KD-15)</t>
  </si>
  <si>
    <t>Barnehage - red. stillinger iht bem.norm (KD-16)</t>
  </si>
  <si>
    <t>25xx</t>
  </si>
  <si>
    <t>Red. i antall motatte flyktnigner</t>
  </si>
  <si>
    <t>Felleskostnader NAV</t>
  </si>
  <si>
    <t>Lerviksgården legesent. Økt leie</t>
  </si>
  <si>
    <t>Ø-hjelp oppsigelse Sokndal og Lund</t>
  </si>
  <si>
    <t xml:space="preserve">2-Øst nedlegging (red. inntekter) </t>
  </si>
  <si>
    <t>Arb.plikt unge sos.hjelpsmottakere</t>
  </si>
  <si>
    <t>Hestnes - borettslag, bemanning (HD-03)</t>
  </si>
  <si>
    <t>Husbanken etableringstilskudd (HD-07)</t>
  </si>
  <si>
    <t>Bosetting 15 flykt/7 utv.introprg. (HD-11)</t>
  </si>
  <si>
    <t>BPA 100% stilling (HD-16)</t>
  </si>
  <si>
    <t>Redusert leie Lerviksgården (HD-31)</t>
  </si>
  <si>
    <t xml:space="preserve">Energi - økte kostnader </t>
  </si>
  <si>
    <t>Espelandshallen</t>
  </si>
  <si>
    <t>Midl. Brakker Tengs - VU</t>
  </si>
  <si>
    <t>Gravlund - 20% stilling (TD-2)</t>
  </si>
  <si>
    <t>B&amp;E - Vedlikehold bygn. (TD-4)</t>
  </si>
  <si>
    <t>B&amp;E - Maling kulturbygg</t>
  </si>
  <si>
    <t>B&amp;E - Leie lokaler SUS (TD-11)</t>
  </si>
  <si>
    <t>Naturforvaltn. Oppgr. turveier (TD-13)</t>
  </si>
  <si>
    <t>Prisjusteringer generelt - alle enh.  (TD-14)</t>
  </si>
  <si>
    <t>B&amp;E - Energi eiendommer (TD-16)</t>
  </si>
  <si>
    <t>Økt forsikring bygg og kjøretøy (TD-20)</t>
  </si>
  <si>
    <t>Oppmåling geodata - Prisregulering (SUD-1</t>
  </si>
  <si>
    <t>Plankontor - 100% stilling planrådgiver (SUD-4)</t>
  </si>
  <si>
    <t>Bruk av fond reguleringsplan</t>
  </si>
  <si>
    <t>Reguleringsplan Tua (bhg) - (SUD-7)</t>
  </si>
  <si>
    <t>Kommunedelplan fritidsbeb. (SUD-5)</t>
  </si>
  <si>
    <t>Reg.plan sentrum (SUD-3)</t>
  </si>
  <si>
    <t>Reg. og prosjektering havnepromenade (SUD-10)</t>
  </si>
  <si>
    <t xml:space="preserve">Eiendomskattetaksering </t>
  </si>
  <si>
    <t>Psykolog 100% st. Lovkrav 2020 (HD-01)</t>
  </si>
  <si>
    <t>Ny ress.krevende bruker 480% (HD-02)</t>
  </si>
  <si>
    <t>Statlige regulering leger og fysio (HD-10)</t>
  </si>
  <si>
    <t>Opptrappingsplan rus/psykiatri (HD-32)</t>
  </si>
  <si>
    <t>Velf.tekn - pasientvarslingssystem  (HD-04)</t>
  </si>
  <si>
    <t xml:space="preserve">Felles trådløs nettverksløsning - økn. </t>
  </si>
  <si>
    <t>Utvidelse sentral lagringsløsning</t>
  </si>
  <si>
    <t>IKT-utstyr skolene - økn.</t>
  </si>
  <si>
    <t>PC-er til folkevalgte</t>
  </si>
  <si>
    <t>Nye PC'er/servere (SI-1)</t>
  </si>
  <si>
    <t>PC-er til elever med spesielle behov (SI-3)</t>
  </si>
  <si>
    <t>Digitalisering (SI-4)</t>
  </si>
  <si>
    <t>Hestnes gravl. - livsnøytralt seremonibygg(KI-3)</t>
  </si>
  <si>
    <t>Ombygging Lagård b/s - 4 leiligheter (HI-08)</t>
  </si>
  <si>
    <t>Pasientvarslingssystem (netto)</t>
  </si>
  <si>
    <t>Buss - Transporttjenesten utskiftning</t>
  </si>
  <si>
    <t>Lysgården - Aktivitetsenter (Anslag)</t>
  </si>
  <si>
    <t>Nytt senter Lagård - omsorgsplan (HI-09)</t>
  </si>
  <si>
    <t>Ombygging Avl.bolig - forprosjekt (HI-10)</t>
  </si>
  <si>
    <t>Utsk. brann-/redning-/tank- og stigebil</t>
  </si>
  <si>
    <t>HMS/verneutstyr og bekledning</t>
  </si>
  <si>
    <t>Brannstatsjon - undervisningsmateriell</t>
  </si>
  <si>
    <t>Brann-utskif. redningsutst, henger,båt</t>
  </si>
  <si>
    <t>Brann-Løftetruck/gaffeltruck</t>
  </si>
  <si>
    <t>Gravemaskin/hjulgraver</t>
  </si>
  <si>
    <t>Gatebelysning-utfasingHQL lyskilder utv.</t>
  </si>
  <si>
    <t xml:space="preserve">Gang og sykkelvei Hålå </t>
  </si>
  <si>
    <t>Forprosjekt skolegårder og barnehager</t>
  </si>
  <si>
    <t xml:space="preserve">Hestnes boligfelt byggetrinn II </t>
  </si>
  <si>
    <t xml:space="preserve">Boligfelt Helleland </t>
  </si>
  <si>
    <t>2 nye varebiler</t>
  </si>
  <si>
    <t>Flomsikring Nyeveien 1-19</t>
  </si>
  <si>
    <t>Oppmåling - ny bil</t>
  </si>
  <si>
    <t xml:space="preserve">VA-Leidlandsvn-Krossvikvn. Slamavsk. </t>
  </si>
  <si>
    <t>Sanering avløpsledning Utv.</t>
  </si>
  <si>
    <t xml:space="preserve">Sanering VA Lindøyveien </t>
  </si>
  <si>
    <t>Ny lastebil (TI-1)</t>
  </si>
  <si>
    <t>Tiltak på vannledningsnettet (TI-11)</t>
  </si>
  <si>
    <t>Nye kloakkpumpestasjoner (TI-10)</t>
  </si>
  <si>
    <t>Ledningstrase Revsvatnet utv. (TI-9)</t>
  </si>
  <si>
    <t>Utbygging ny vannkilde (TI-16)</t>
  </si>
  <si>
    <t>Sanering vannledning (TI-17)</t>
  </si>
  <si>
    <t xml:space="preserve">Sopebil </t>
  </si>
  <si>
    <t>Turvei Langevann vest (TI-2)</t>
  </si>
  <si>
    <t>Bytte ut større maskin Vei og utemiljø (TI-3)</t>
  </si>
  <si>
    <t>Sentralidrettsanl. - oppgr. Gardorober (TI-4)</t>
  </si>
  <si>
    <t>Nærmiljøanlegg (TI-7)</t>
  </si>
  <si>
    <t>Saneringsanlegg Høgevollsveien (TI-13)</t>
  </si>
  <si>
    <t>Saneringsanlegg Hafsøyveien (TI-12)</t>
  </si>
  <si>
    <t>Saneringsanlegg Gamlevn./Lundevn. (TI-15)</t>
  </si>
  <si>
    <t>Saneringsanlegg Duganeveien (TI-14)</t>
  </si>
  <si>
    <t>Rundevoll barnehage - nybygg (TI-22)</t>
  </si>
  <si>
    <t>Kino - Publikumsmøbler fojae 2. etg (KI-1)</t>
  </si>
  <si>
    <t>Kino/kulturhus - Nye stoler Sal 2 (KI-2)</t>
  </si>
  <si>
    <t xml:space="preserve">Kulturhus - Scenelys med mere </t>
  </si>
  <si>
    <t>Kino - nytt kinoutstyr</t>
  </si>
  <si>
    <t>Opprusning Lindøy batteri (TI-24)</t>
  </si>
  <si>
    <t>Kjøp av Lervikrsgården (TI-27)</t>
  </si>
  <si>
    <t>Forprosjekt ny Base Utemiljø (TI-28)</t>
  </si>
  <si>
    <t>Grunnkart - oppdatering (SUI-1)</t>
  </si>
  <si>
    <t>Bruk av fond Lindøy Batteri</t>
  </si>
  <si>
    <t>Velferdsteknologi (SI-2)</t>
  </si>
  <si>
    <t>Pensjonsutgifter</t>
  </si>
  <si>
    <t>Jobbmestring Flyktninger</t>
  </si>
  <si>
    <t>Lerviksgården - husleie/felleskostn. utgår PPT</t>
  </si>
  <si>
    <t>Lerviksgården - Felleskost. fra KO</t>
  </si>
  <si>
    <t>Lerviksgården - Husleie utgår + husleieinnt.</t>
  </si>
  <si>
    <t xml:space="preserve">Administrasjonens forslag </t>
  </si>
  <si>
    <t>Driftsutgifter svømmehaller egen sak</t>
  </si>
  <si>
    <t>Konseptutvikling Egersund Sentrum</t>
  </si>
  <si>
    <t>Konseptutvikling - bruk av driftsfond</t>
  </si>
  <si>
    <t>Bruk av lån - Lerviksgården</t>
  </si>
  <si>
    <t>Amortisert premieavvik - SPK</t>
  </si>
  <si>
    <t>Amortisert premieavvik - KLP</t>
  </si>
  <si>
    <t>Kommunejurist 70% av 100% st. (SUD-11)</t>
  </si>
  <si>
    <t>Kommunejurist 30% av 100% st. (TD-18)</t>
  </si>
  <si>
    <t>Lærlinger - økt antall og pensjon (SD-12)</t>
  </si>
  <si>
    <t>Komp VA-endr lag/foreninger (iht endringer)</t>
  </si>
  <si>
    <t>Barnevern - 200% stilling (KD-02)</t>
  </si>
  <si>
    <t>Barnevern - 100% stilling fra fond</t>
  </si>
  <si>
    <t>Digitale låser hjemmesykepleie</t>
  </si>
  <si>
    <t>Bruk av lønnspott - engangsforhold</t>
  </si>
  <si>
    <t>Dalane folkemuseum - Just. tilskudd</t>
  </si>
  <si>
    <t>Tidl. innsats i skolen tilsk. inn i ramme(KD-17)</t>
  </si>
  <si>
    <t>Momsrefusjon forst. brannstasjon</t>
  </si>
  <si>
    <t>Brann</t>
  </si>
  <si>
    <t>VU</t>
  </si>
  <si>
    <t>Jone</t>
  </si>
  <si>
    <t>Leif</t>
  </si>
  <si>
    <t>Espen</t>
  </si>
  <si>
    <t>BE</t>
  </si>
  <si>
    <t>VA</t>
  </si>
  <si>
    <t>Avsluttet</t>
  </si>
  <si>
    <t>PS</t>
  </si>
  <si>
    <t>SU</t>
  </si>
  <si>
    <t>TLO</t>
  </si>
  <si>
    <t>Bil til feier (TI-21)</t>
  </si>
  <si>
    <t>Forprosjekt ny brannstasjon</t>
  </si>
  <si>
    <t>Fornyelse maskinpark - Utstr til vintervedl.</t>
  </si>
  <si>
    <t>Husleie Espelandshallen AS</t>
  </si>
  <si>
    <t>Økte energiutgifter - bygg og gatelys</t>
  </si>
  <si>
    <t>Tyskerbro - erstatninger</t>
  </si>
  <si>
    <t xml:space="preserve">Digitalisering av bygg- og eiendomsarkiv </t>
  </si>
  <si>
    <t>IKT- dr.utg ifm. digitaliseringstrategi (SD-27)</t>
  </si>
  <si>
    <t>Tils. planarbeid jernbane Sandnes-Egnd (SUD-6)</t>
  </si>
  <si>
    <t>Norsk Helsenett - red. medlemsavg. (SD-14)</t>
  </si>
  <si>
    <t>Finansiering midl. lokaler Eigerøy skole</t>
  </si>
  <si>
    <t>Midlertidige lokaler Eigerøy skole</t>
  </si>
  <si>
    <t>Ny brannstasjon - finansutgifter (egen sak)</t>
  </si>
  <si>
    <t>Ny base Teknisk - finansutgifter (egen sak)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</si>
</sst>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_ ;_ * \-#,##0.00_ ;_ * \-??_ ;_ @_ "/>
    <numFmt numFmtId="166" formatCode="_ * #,##0_ ;_ * \-#,##0_ ;_ * \-??_ ;_ @_ 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2"/>
      <color rgb="FF0000FF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26"/>
      </patternFill>
    </fill>
    <fill>
      <patternFill patternType="solid">
        <fgColor rgb="FFCCFFCC"/>
        <bgColor indexed="9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auto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auto="1"/>
      </bottom>
      <diagonal/>
    </border>
  </borders>
  <cellStyleXfs count="125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1" applyNumberFormat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7" borderId="1" applyNumberFormat="0" applyAlignment="0" applyProtection="0"/>
    <xf numFmtId="0" fontId="51" fillId="0" borderId="0" applyNumberFormat="0" applyFill="0" applyBorder="0" applyProtection="0">
      <alignment horizontal="left"/>
    </xf>
    <xf numFmtId="0" fontId="56" fillId="0" borderId="2" applyNumberFormat="0" applyFill="0" applyAlignment="0" applyProtection="0"/>
    <xf numFmtId="0" fontId="57" fillId="17" borderId="3" applyNumberFormat="0" applyAlignment="0" applyProtection="0"/>
    <xf numFmtId="0" fontId="51" fillId="18" borderId="4" applyNumberFormat="0" applyAlignment="0" applyProtection="0"/>
    <xf numFmtId="0" fontId="47" fillId="0" borderId="0"/>
    <xf numFmtId="0" fontId="58" fillId="19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Protection="0">
      <alignment horizontal="left"/>
    </xf>
    <xf numFmtId="0" fontId="63" fillId="0" borderId="8" applyNumberFormat="0" applyFill="0" applyAlignment="0" applyProtection="0"/>
    <xf numFmtId="165" fontId="35" fillId="0" borderId="0" applyFill="0" applyBorder="0" applyAlignment="0" applyProtection="0"/>
    <xf numFmtId="0" fontId="64" fillId="16" borderId="9" applyNumberFormat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18" borderId="4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165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75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1" applyNumberFormat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7" borderId="1" applyNumberFormat="0" applyAlignment="0" applyProtection="0"/>
    <xf numFmtId="0" fontId="56" fillId="0" borderId="2" applyNumberFormat="0" applyFill="0" applyAlignment="0" applyProtection="0"/>
    <xf numFmtId="0" fontId="57" fillId="17" borderId="3" applyNumberFormat="0" applyAlignment="0" applyProtection="0"/>
    <xf numFmtId="0" fontId="7" fillId="18" borderId="4" applyNumberFormat="0" applyAlignment="0" applyProtection="0"/>
    <xf numFmtId="0" fontId="58" fillId="19" borderId="0" applyNumberFormat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5" fontId="7" fillId="0" borderId="0" applyFill="0" applyBorder="0" applyAlignment="0" applyProtection="0"/>
    <xf numFmtId="0" fontId="64" fillId="16" borderId="9" applyNumberFormat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498">
    <xf numFmtId="0" fontId="0" fillId="0" borderId="0" xfId="0"/>
    <xf numFmtId="0" fontId="0" fillId="24" borderId="0" xfId="0" applyFont="1" applyFill="1"/>
    <xf numFmtId="0" fontId="0" fillId="24" borderId="0" xfId="0" applyFont="1" applyFill="1" applyAlignment="1">
      <alignment horizontal="left"/>
    </xf>
    <xf numFmtId="3" fontId="0" fillId="24" borderId="0" xfId="0" applyNumberFormat="1" applyFont="1" applyFill="1"/>
    <xf numFmtId="3" fontId="8" fillId="24" borderId="0" xfId="0" applyNumberFormat="1" applyFont="1" applyFill="1"/>
    <xf numFmtId="3" fontId="9" fillId="24" borderId="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horizontal="left"/>
    </xf>
    <xf numFmtId="3" fontId="10" fillId="24" borderId="10" xfId="0" applyNumberFormat="1" applyFont="1" applyFill="1" applyBorder="1"/>
    <xf numFmtId="3" fontId="11" fillId="24" borderId="10" xfId="0" applyNumberFormat="1" applyFont="1" applyFill="1" applyBorder="1"/>
    <xf numFmtId="3" fontId="12" fillId="24" borderId="10" xfId="0" applyNumberFormat="1" applyFont="1" applyFill="1" applyBorder="1" applyAlignment="1">
      <alignment horizontal="right"/>
    </xf>
    <xf numFmtId="0" fontId="13" fillId="24" borderId="0" xfId="0" applyFont="1" applyFill="1" applyBorder="1"/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/>
    <xf numFmtId="0" fontId="14" fillId="24" borderId="11" xfId="0" applyFont="1" applyFill="1" applyBorder="1"/>
    <xf numFmtId="0" fontId="14" fillId="24" borderId="12" xfId="0" applyFont="1" applyFill="1" applyBorder="1" applyAlignment="1">
      <alignment horizontal="left"/>
    </xf>
    <xf numFmtId="3" fontId="12" fillId="24" borderId="12" xfId="0" applyNumberFormat="1" applyFont="1" applyFill="1" applyBorder="1"/>
    <xf numFmtId="3" fontId="15" fillId="24" borderId="11" xfId="0" applyNumberFormat="1" applyFont="1" applyFill="1" applyBorder="1" applyAlignment="1">
      <alignment horizontal="center"/>
    </xf>
    <xf numFmtId="3" fontId="17" fillId="18" borderId="13" xfId="0" applyNumberFormat="1" applyFont="1" applyFill="1" applyBorder="1" applyAlignment="1">
      <alignment horizontal="left"/>
    </xf>
    <xf numFmtId="3" fontId="12" fillId="18" borderId="13" xfId="0" applyNumberFormat="1" applyFont="1" applyFill="1" applyBorder="1"/>
    <xf numFmtId="3" fontId="12" fillId="18" borderId="14" xfId="0" applyNumberFormat="1" applyFont="1" applyFill="1" applyBorder="1"/>
    <xf numFmtId="0" fontId="14" fillId="24" borderId="15" xfId="0" applyFont="1" applyFill="1" applyBorder="1"/>
    <xf numFmtId="0" fontId="14" fillId="24" borderId="16" xfId="0" applyFont="1" applyFill="1" applyBorder="1" applyAlignment="1">
      <alignment horizontal="center"/>
    </xf>
    <xf numFmtId="3" fontId="15" fillId="24" borderId="16" xfId="0" applyNumberFormat="1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5" fillId="18" borderId="18" xfId="0" applyNumberFormat="1" applyFont="1" applyFill="1" applyBorder="1" applyAlignment="1">
      <alignment horizontal="right"/>
    </xf>
    <xf numFmtId="3" fontId="12" fillId="18" borderId="18" xfId="0" applyNumberFormat="1" applyFont="1" applyFill="1" applyBorder="1"/>
    <xf numFmtId="3" fontId="12" fillId="18" borderId="19" xfId="0" applyNumberFormat="1" applyFont="1" applyFill="1" applyBorder="1"/>
    <xf numFmtId="0" fontId="18" fillId="24" borderId="20" xfId="0" applyFont="1" applyFill="1" applyBorder="1" applyAlignment="1">
      <alignment horizontal="left"/>
    </xf>
    <xf numFmtId="0" fontId="19" fillId="24" borderId="20" xfId="0" applyFont="1" applyFill="1" applyBorder="1" applyAlignment="1">
      <alignment horizontal="center"/>
    </xf>
    <xf numFmtId="1" fontId="15" fillId="24" borderId="18" xfId="0" applyNumberFormat="1" applyFont="1" applyFill="1" applyBorder="1" applyAlignment="1">
      <alignment horizontal="center"/>
    </xf>
    <xf numFmtId="1" fontId="15" fillId="24" borderId="21" xfId="0" applyNumberFormat="1" applyFont="1" applyFill="1" applyBorder="1" applyAlignment="1">
      <alignment horizontal="center"/>
    </xf>
    <xf numFmtId="1" fontId="15" fillId="18" borderId="22" xfId="0" applyNumberFormat="1" applyFont="1" applyFill="1" applyBorder="1" applyAlignment="1">
      <alignment horizontal="center"/>
    </xf>
    <xf numFmtId="1" fontId="15" fillId="18" borderId="23" xfId="0" applyNumberFormat="1" applyFont="1" applyFill="1" applyBorder="1" applyAlignment="1">
      <alignment horizontal="center"/>
    </xf>
    <xf numFmtId="0" fontId="20" fillId="24" borderId="24" xfId="0" applyFont="1" applyFill="1" applyBorder="1"/>
    <xf numFmtId="0" fontId="21" fillId="24" borderId="24" xfId="0" applyFont="1" applyFill="1" applyBorder="1" applyAlignment="1">
      <alignment horizontal="left"/>
    </xf>
    <xf numFmtId="3" fontId="21" fillId="24" borderId="24" xfId="0" applyNumberFormat="1" applyFont="1" applyFill="1" applyBorder="1"/>
    <xf numFmtId="3" fontId="21" fillId="18" borderId="26" xfId="0" applyNumberFormat="1" applyFont="1" applyFill="1" applyBorder="1"/>
    <xf numFmtId="37" fontId="21" fillId="0" borderId="27" xfId="0" applyNumberFormat="1" applyFont="1" applyFill="1" applyBorder="1"/>
    <xf numFmtId="0" fontId="21" fillId="24" borderId="28" xfId="0" applyFont="1" applyFill="1" applyBorder="1" applyAlignment="1">
      <alignment horizontal="center"/>
    </xf>
    <xf numFmtId="3" fontId="21" fillId="24" borderId="28" xfId="0" applyNumberFormat="1" applyFont="1" applyFill="1" applyBorder="1"/>
    <xf numFmtId="3" fontId="22" fillId="24" borderId="28" xfId="0" applyNumberFormat="1" applyFont="1" applyFill="1" applyBorder="1"/>
    <xf numFmtId="37" fontId="21" fillId="0" borderId="29" xfId="0" applyNumberFormat="1" applyFont="1" applyFill="1" applyBorder="1"/>
    <xf numFmtId="0" fontId="21" fillId="24" borderId="30" xfId="0" applyFont="1" applyFill="1" applyBorder="1" applyAlignment="1">
      <alignment horizontal="center"/>
    </xf>
    <xf numFmtId="3" fontId="21" fillId="24" borderId="30" xfId="0" applyNumberFormat="1" applyFont="1" applyFill="1" applyBorder="1"/>
    <xf numFmtId="0" fontId="20" fillId="0" borderId="22" xfId="0" applyFont="1" applyFill="1" applyBorder="1"/>
    <xf numFmtId="0" fontId="20" fillId="24" borderId="22" xfId="0" applyFont="1" applyFill="1" applyBorder="1" applyAlignment="1">
      <alignment horizontal="center"/>
    </xf>
    <xf numFmtId="3" fontId="20" fillId="24" borderId="22" xfId="0" applyNumberFormat="1" applyFont="1" applyFill="1" applyBorder="1"/>
    <xf numFmtId="0" fontId="21" fillId="0" borderId="24" xfId="0" applyFont="1" applyFill="1" applyBorder="1"/>
    <xf numFmtId="0" fontId="21" fillId="24" borderId="24" xfId="0" applyFont="1" applyFill="1" applyBorder="1" applyAlignment="1">
      <alignment horizontal="center"/>
    </xf>
    <xf numFmtId="0" fontId="20" fillId="0" borderId="30" xfId="0" applyFont="1" applyFill="1" applyBorder="1"/>
    <xf numFmtId="0" fontId="21" fillId="0" borderId="27" xfId="0" applyFont="1" applyFill="1" applyBorder="1"/>
    <xf numFmtId="0" fontId="21" fillId="0" borderId="28" xfId="0" applyFont="1" applyFill="1" applyBorder="1" applyAlignment="1">
      <alignment horizontal="center"/>
    </xf>
    <xf numFmtId="3" fontId="21" fillId="0" borderId="28" xfId="0" applyNumberFormat="1" applyFont="1" applyFill="1" applyBorder="1"/>
    <xf numFmtId="3" fontId="21" fillId="18" borderId="31" xfId="0" applyNumberFormat="1" applyFont="1" applyFill="1" applyBorder="1"/>
    <xf numFmtId="0" fontId="20" fillId="0" borderId="24" xfId="0" applyFont="1" applyFill="1" applyBorder="1"/>
    <xf numFmtId="3" fontId="21" fillId="18" borderId="24" xfId="0" applyNumberFormat="1" applyFont="1" applyFill="1" applyBorder="1"/>
    <xf numFmtId="0" fontId="21" fillId="24" borderId="28" xfId="0" applyFont="1" applyFill="1" applyBorder="1"/>
    <xf numFmtId="3" fontId="21" fillId="4" borderId="33" xfId="0" applyNumberFormat="1" applyFont="1" applyFill="1" applyBorder="1"/>
    <xf numFmtId="3" fontId="21" fillId="18" borderId="27" xfId="0" applyNumberFormat="1" applyFont="1" applyFill="1" applyBorder="1"/>
    <xf numFmtId="0" fontId="21" fillId="24" borderId="30" xfId="0" applyFont="1" applyFill="1" applyBorder="1"/>
    <xf numFmtId="3" fontId="21" fillId="18" borderId="30" xfId="0" applyNumberFormat="1" applyFont="1" applyFill="1" applyBorder="1"/>
    <xf numFmtId="0" fontId="20" fillId="24" borderId="22" xfId="0" applyFont="1" applyFill="1" applyBorder="1"/>
    <xf numFmtId="0" fontId="21" fillId="24" borderId="24" xfId="0" applyFont="1" applyFill="1" applyBorder="1"/>
    <xf numFmtId="3" fontId="21" fillId="18" borderId="28" xfId="0" applyNumberFormat="1" applyFont="1" applyFill="1" applyBorder="1"/>
    <xf numFmtId="0" fontId="20" fillId="24" borderId="28" xfId="0" applyFont="1" applyFill="1" applyBorder="1"/>
    <xf numFmtId="0" fontId="23" fillId="24" borderId="0" xfId="0" applyFont="1" applyFill="1"/>
    <xf numFmtId="3" fontId="21" fillId="24" borderId="15" xfId="0" applyNumberFormat="1" applyFont="1" applyFill="1" applyBorder="1"/>
    <xf numFmtId="0" fontId="20" fillId="24" borderId="34" xfId="0" applyFont="1" applyFill="1" applyBorder="1"/>
    <xf numFmtId="0" fontId="20" fillId="24" borderId="34" xfId="0" applyFont="1" applyFill="1" applyBorder="1" applyAlignment="1">
      <alignment horizontal="center"/>
    </xf>
    <xf numFmtId="3" fontId="20" fillId="24" borderId="34" xfId="0" applyNumberFormat="1" applyFont="1" applyFill="1" applyBorder="1"/>
    <xf numFmtId="3" fontId="20" fillId="24" borderId="35" xfId="0" applyNumberFormat="1" applyFont="1" applyFill="1" applyBorder="1"/>
    <xf numFmtId="3" fontId="20" fillId="18" borderId="34" xfId="0" applyNumberFormat="1" applyFont="1" applyFill="1" applyBorder="1"/>
    <xf numFmtId="0" fontId="0" fillId="24" borderId="0" xfId="0" applyFont="1" applyFill="1" applyAlignment="1">
      <alignment horizontal="center"/>
    </xf>
    <xf numFmtId="0" fontId="26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3" fontId="16" fillId="18" borderId="11" xfId="0" applyNumberFormat="1" applyFont="1" applyFill="1" applyBorder="1"/>
    <xf numFmtId="3" fontId="15" fillId="4" borderId="12" xfId="0" applyNumberFormat="1" applyFont="1" applyFill="1" applyBorder="1" applyAlignment="1">
      <alignment horizontal="center"/>
    </xf>
    <xf numFmtId="1" fontId="15" fillId="0" borderId="21" xfId="0" applyNumberFormat="1" applyFont="1" applyFill="1" applyBorder="1" applyAlignment="1">
      <alignment horizontal="center"/>
    </xf>
    <xf numFmtId="1" fontId="15" fillId="4" borderId="21" xfId="0" applyNumberFormat="1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3" fontId="20" fillId="0" borderId="31" xfId="0" applyNumberFormat="1" applyFont="1" applyFill="1" applyBorder="1"/>
    <xf numFmtId="3" fontId="20" fillId="4" borderId="0" xfId="0" applyNumberFormat="1" applyFont="1" applyFill="1"/>
    <xf numFmtId="3" fontId="20" fillId="18" borderId="36" xfId="0" applyNumberFormat="1" applyFont="1" applyFill="1" applyBorder="1"/>
    <xf numFmtId="3" fontId="20" fillId="18" borderId="26" xfId="0" applyNumberFormat="1" applyFont="1" applyFill="1" applyBorder="1"/>
    <xf numFmtId="3" fontId="20" fillId="0" borderId="24" xfId="0" applyNumberFormat="1" applyFont="1" applyFill="1" applyBorder="1"/>
    <xf numFmtId="3" fontId="21" fillId="4" borderId="27" xfId="0" applyNumberFormat="1" applyFont="1" applyFill="1" applyBorder="1"/>
    <xf numFmtId="3" fontId="20" fillId="18" borderId="31" xfId="0" applyNumberFormat="1" applyFont="1" applyFill="1" applyBorder="1"/>
    <xf numFmtId="3" fontId="21" fillId="24" borderId="37" xfId="0" applyNumberFormat="1" applyFont="1" applyFill="1" applyBorder="1"/>
    <xf numFmtId="0" fontId="21" fillId="0" borderId="28" xfId="0" applyFont="1" applyFill="1" applyBorder="1"/>
    <xf numFmtId="3" fontId="21" fillId="4" borderId="28" xfId="0" applyNumberFormat="1" applyFont="1" applyFill="1" applyBorder="1"/>
    <xf numFmtId="3" fontId="20" fillId="24" borderId="38" xfId="0" applyNumberFormat="1" applyFont="1" applyFill="1" applyBorder="1"/>
    <xf numFmtId="0" fontId="21" fillId="24" borderId="29" xfId="0" applyFont="1" applyFill="1" applyBorder="1"/>
    <xf numFmtId="0" fontId="21" fillId="24" borderId="39" xfId="0" applyFont="1" applyFill="1" applyBorder="1" applyAlignment="1">
      <alignment horizontal="center"/>
    </xf>
    <xf numFmtId="3" fontId="21" fillId="24" borderId="40" xfId="0" applyNumberFormat="1" applyFont="1" applyFill="1" applyBorder="1"/>
    <xf numFmtId="3" fontId="21" fillId="4" borderId="30" xfId="0" applyNumberFormat="1" applyFont="1" applyFill="1" applyBorder="1"/>
    <xf numFmtId="3" fontId="21" fillId="18" borderId="29" xfId="0" applyNumberFormat="1" applyFont="1" applyFill="1" applyBorder="1"/>
    <xf numFmtId="0" fontId="28" fillId="24" borderId="34" xfId="0" applyFont="1" applyFill="1" applyBorder="1"/>
    <xf numFmtId="0" fontId="28" fillId="24" borderId="34" xfId="0" applyFont="1" applyFill="1" applyBorder="1" applyAlignment="1">
      <alignment horizontal="center"/>
    </xf>
    <xf numFmtId="3" fontId="28" fillId="0" borderId="34" xfId="0" applyNumberFormat="1" applyFont="1" applyFill="1" applyBorder="1"/>
    <xf numFmtId="3" fontId="28" fillId="24" borderId="34" xfId="0" applyNumberFormat="1" applyFont="1" applyFill="1" applyBorder="1"/>
    <xf numFmtId="3" fontId="20" fillId="4" borderId="34" xfId="0" applyNumberFormat="1" applyFont="1" applyFill="1" applyBorder="1"/>
    <xf numFmtId="0" fontId="20" fillId="0" borderId="28" xfId="0" applyFont="1" applyFill="1" applyBorder="1"/>
    <xf numFmtId="3" fontId="21" fillId="0" borderId="24" xfId="0" applyNumberFormat="1" applyFont="1" applyFill="1" applyBorder="1"/>
    <xf numFmtId="3" fontId="20" fillId="24" borderId="24" xfId="0" applyNumberFormat="1" applyFont="1" applyFill="1" applyBorder="1"/>
    <xf numFmtId="3" fontId="20" fillId="4" borderId="31" xfId="0" applyNumberFormat="1" applyFont="1" applyFill="1" applyBorder="1"/>
    <xf numFmtId="3" fontId="21" fillId="4" borderId="31" xfId="0" applyNumberFormat="1" applyFont="1" applyFill="1" applyBorder="1"/>
    <xf numFmtId="3" fontId="20" fillId="4" borderId="28" xfId="0" applyNumberFormat="1" applyFont="1" applyFill="1" applyBorder="1"/>
    <xf numFmtId="3" fontId="20" fillId="18" borderId="27" xfId="0" applyNumberFormat="1" applyFont="1" applyFill="1" applyBorder="1"/>
    <xf numFmtId="0" fontId="29" fillId="24" borderId="0" xfId="0" applyFont="1" applyFill="1"/>
    <xf numFmtId="3" fontId="20" fillId="0" borderId="36" xfId="0" applyNumberFormat="1" applyFont="1" applyFill="1" applyBorder="1"/>
    <xf numFmtId="3" fontId="21" fillId="24" borderId="41" xfId="0" applyNumberFormat="1" applyFont="1" applyFill="1" applyBorder="1"/>
    <xf numFmtId="3" fontId="30" fillId="24" borderId="10" xfId="0" applyNumberFormat="1" applyFont="1" applyFill="1" applyBorder="1"/>
    <xf numFmtId="0" fontId="14" fillId="0" borderId="1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3" fontId="21" fillId="4" borderId="42" xfId="0" applyNumberFormat="1" applyFont="1" applyFill="1" applyBorder="1"/>
    <xf numFmtId="0" fontId="20" fillId="24" borderId="28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/>
    </xf>
    <xf numFmtId="3" fontId="15" fillId="24" borderId="43" xfId="0" applyNumberFormat="1" applyFont="1" applyFill="1" applyBorder="1" applyAlignment="1">
      <alignment horizontal="center"/>
    </xf>
    <xf numFmtId="3" fontId="16" fillId="18" borderId="13" xfId="0" applyNumberFormat="1" applyFont="1" applyFill="1" applyBorder="1"/>
    <xf numFmtId="3" fontId="15" fillId="24" borderId="44" xfId="0" applyNumberFormat="1" applyFont="1" applyFill="1" applyBorder="1" applyAlignment="1">
      <alignment horizontal="center"/>
    </xf>
    <xf numFmtId="3" fontId="15" fillId="4" borderId="14" xfId="0" applyNumberFormat="1" applyFont="1" applyFill="1" applyBorder="1" applyAlignment="1">
      <alignment horizontal="center"/>
    </xf>
    <xf numFmtId="0" fontId="20" fillId="24" borderId="15" xfId="0" applyFont="1" applyFill="1" applyBorder="1"/>
    <xf numFmtId="3" fontId="20" fillId="24" borderId="15" xfId="0" applyNumberFormat="1" applyFont="1" applyFill="1" applyBorder="1"/>
    <xf numFmtId="3" fontId="21" fillId="4" borderId="47" xfId="0" applyNumberFormat="1" applyFont="1" applyFill="1" applyBorder="1"/>
    <xf numFmtId="3" fontId="21" fillId="4" borderId="48" xfId="0" applyNumberFormat="1" applyFont="1" applyFill="1" applyBorder="1"/>
    <xf numFmtId="166" fontId="20" fillId="0" borderId="22" xfId="40" applyNumberFormat="1" applyFont="1" applyFill="1" applyBorder="1" applyAlignment="1" applyProtection="1"/>
    <xf numFmtId="166" fontId="21" fillId="0" borderId="24" xfId="40" applyNumberFormat="1" applyFont="1" applyFill="1" applyBorder="1" applyAlignment="1" applyProtection="1"/>
    <xf numFmtId="166" fontId="21" fillId="0" borderId="30" xfId="40" applyNumberFormat="1" applyFont="1" applyFill="1" applyBorder="1" applyAlignment="1" applyProtection="1"/>
    <xf numFmtId="37" fontId="20" fillId="0" borderId="22" xfId="0" applyNumberFormat="1" applyFont="1" applyFill="1" applyBorder="1"/>
    <xf numFmtId="3" fontId="20" fillId="0" borderId="22" xfId="0" applyNumberFormat="1" applyFont="1" applyFill="1" applyBorder="1"/>
    <xf numFmtId="3" fontId="0" fillId="24" borderId="0" xfId="0" applyNumberFormat="1" applyFill="1"/>
    <xf numFmtId="0" fontId="11" fillId="24" borderId="0" xfId="0" applyFont="1" applyFill="1"/>
    <xf numFmtId="0" fontId="11" fillId="24" borderId="0" xfId="0" applyFont="1" applyFill="1" applyAlignment="1">
      <alignment horizontal="center"/>
    </xf>
    <xf numFmtId="3" fontId="11" fillId="24" borderId="0" xfId="0" applyNumberFormat="1" applyFont="1" applyFill="1"/>
    <xf numFmtId="3" fontId="21" fillId="24" borderId="0" xfId="0" applyNumberFormat="1" applyFont="1" applyFill="1" applyBorder="1" applyAlignment="1">
      <alignment horizontal="right"/>
    </xf>
    <xf numFmtId="0" fontId="32" fillId="24" borderId="10" xfId="0" applyFont="1" applyFill="1" applyBorder="1" applyAlignment="1">
      <alignment horizontal="center"/>
    </xf>
    <xf numFmtId="3" fontId="32" fillId="24" borderId="10" xfId="0" applyNumberFormat="1" applyFont="1" applyFill="1" applyBorder="1"/>
    <xf numFmtId="0" fontId="15" fillId="24" borderId="0" xfId="0" applyFont="1" applyFill="1" applyBorder="1"/>
    <xf numFmtId="0" fontId="11" fillId="24" borderId="0" xfId="0" applyFont="1" applyFill="1" applyBorder="1" applyAlignment="1">
      <alignment horizontal="center"/>
    </xf>
    <xf numFmtId="3" fontId="11" fillId="24" borderId="0" xfId="0" applyNumberFormat="1" applyFont="1" applyFill="1" applyBorder="1"/>
    <xf numFmtId="0" fontId="12" fillId="24" borderId="11" xfId="0" applyFont="1" applyFill="1" applyBorder="1"/>
    <xf numFmtId="0" fontId="12" fillId="24" borderId="12" xfId="0" applyFont="1" applyFill="1" applyBorder="1" applyAlignment="1">
      <alignment horizontal="center"/>
    </xf>
    <xf numFmtId="0" fontId="12" fillId="24" borderId="15" xfId="0" applyFont="1" applyFill="1" applyBorder="1"/>
    <xf numFmtId="0" fontId="12" fillId="24" borderId="16" xfId="0" applyFont="1" applyFill="1" applyBorder="1" applyAlignment="1">
      <alignment horizontal="center"/>
    </xf>
    <xf numFmtId="0" fontId="15" fillId="24" borderId="20" xfId="0" applyFont="1" applyFill="1" applyBorder="1" applyAlignment="1">
      <alignment horizontal="center"/>
    </xf>
    <xf numFmtId="3" fontId="20" fillId="0" borderId="34" xfId="0" applyNumberFormat="1" applyFont="1" applyFill="1" applyBorder="1"/>
    <xf numFmtId="3" fontId="21" fillId="24" borderId="50" xfId="0" applyNumberFormat="1" applyFont="1" applyFill="1" applyBorder="1"/>
    <xf numFmtId="0" fontId="22" fillId="24" borderId="28" xfId="0" applyNumberFormat="1" applyFont="1" applyFill="1" applyBorder="1"/>
    <xf numFmtId="0" fontId="21" fillId="24" borderId="28" xfId="0" applyNumberFormat="1" applyFont="1" applyFill="1" applyBorder="1"/>
    <xf numFmtId="0" fontId="21" fillId="24" borderId="29" xfId="0" applyNumberFormat="1" applyFont="1" applyFill="1" applyBorder="1"/>
    <xf numFmtId="0" fontId="20" fillId="24" borderId="15" xfId="0" applyFont="1" applyFill="1" applyBorder="1" applyAlignment="1">
      <alignment horizontal="center"/>
    </xf>
    <xf numFmtId="3" fontId="33" fillId="24" borderId="0" xfId="0" applyNumberFormat="1" applyFont="1" applyFill="1"/>
    <xf numFmtId="0" fontId="8" fillId="0" borderId="0" xfId="0" applyFont="1" applyFill="1"/>
    <xf numFmtId="0" fontId="34" fillId="24" borderId="0" xfId="0" applyFont="1" applyFill="1"/>
    <xf numFmtId="0" fontId="35" fillId="24" borderId="0" xfId="0" applyFont="1" applyFill="1"/>
    <xf numFmtId="3" fontId="20" fillId="24" borderId="53" xfId="0" applyNumberFormat="1" applyFont="1" applyFill="1" applyBorder="1"/>
    <xf numFmtId="0" fontId="22" fillId="24" borderId="28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3" fontId="22" fillId="0" borderId="24" xfId="0" applyNumberFormat="1" applyFont="1" applyFill="1" applyBorder="1"/>
    <xf numFmtId="0" fontId="36" fillId="25" borderId="0" xfId="0" applyFont="1" applyFill="1"/>
    <xf numFmtId="0" fontId="7" fillId="25" borderId="0" xfId="0" applyFont="1" applyFill="1" applyAlignment="1">
      <alignment horizontal="left"/>
    </xf>
    <xf numFmtId="3" fontId="7" fillId="25" borderId="0" xfId="0" applyNumberFormat="1" applyFont="1" applyFill="1"/>
    <xf numFmtId="0" fontId="7" fillId="25" borderId="0" xfId="0" applyFont="1" applyFill="1"/>
    <xf numFmtId="0" fontId="37" fillId="25" borderId="0" xfId="0" applyFont="1" applyFill="1"/>
    <xf numFmtId="0" fontId="37" fillId="25" borderId="0" xfId="0" applyFont="1" applyFill="1" applyAlignment="1">
      <alignment horizontal="left"/>
    </xf>
    <xf numFmtId="3" fontId="37" fillId="25" borderId="0" xfId="0" applyNumberFormat="1" applyFont="1" applyFill="1"/>
    <xf numFmtId="0" fontId="9" fillId="25" borderId="0" xfId="0" applyFont="1" applyFill="1" applyAlignment="1">
      <alignment horizontal="left"/>
    </xf>
    <xf numFmtId="3" fontId="39" fillId="25" borderId="0" xfId="0" applyNumberFormat="1" applyFont="1" applyFill="1"/>
    <xf numFmtId="3" fontId="10" fillId="25" borderId="0" xfId="0" applyNumberFormat="1" applyFont="1" applyFill="1"/>
    <xf numFmtId="0" fontId="40" fillId="25" borderId="0" xfId="0" applyFont="1" applyFill="1" applyAlignment="1">
      <alignment horizontal="left"/>
    </xf>
    <xf numFmtId="3" fontId="7" fillId="26" borderId="56" xfId="0" applyNumberFormat="1" applyFont="1" applyFill="1" applyBorder="1"/>
    <xf numFmtId="3" fontId="7" fillId="26" borderId="57" xfId="0" applyNumberFormat="1" applyFont="1" applyFill="1" applyBorder="1"/>
    <xf numFmtId="0" fontId="7" fillId="26" borderId="56" xfId="0" applyFont="1" applyFill="1" applyBorder="1" applyAlignment="1">
      <alignment horizontal="left"/>
    </xf>
    <xf numFmtId="3" fontId="7" fillId="26" borderId="58" xfId="0" applyNumberFormat="1" applyFont="1" applyFill="1" applyBorder="1"/>
    <xf numFmtId="3" fontId="7" fillId="26" borderId="59" xfId="0" applyNumberFormat="1" applyFont="1" applyFill="1" applyBorder="1"/>
    <xf numFmtId="0" fontId="7" fillId="26" borderId="58" xfId="0" applyFont="1" applyFill="1" applyBorder="1" applyAlignment="1">
      <alignment horizontal="left"/>
    </xf>
    <xf numFmtId="0" fontId="7" fillId="26" borderId="60" xfId="0" applyFont="1" applyFill="1" applyBorder="1" applyAlignment="1">
      <alignment horizontal="left"/>
    </xf>
    <xf numFmtId="3" fontId="7" fillId="26" borderId="61" xfId="0" applyNumberFormat="1" applyFont="1" applyFill="1" applyBorder="1"/>
    <xf numFmtId="3" fontId="7" fillId="26" borderId="60" xfId="0" applyNumberFormat="1" applyFont="1" applyFill="1" applyBorder="1"/>
    <xf numFmtId="3" fontId="9" fillId="25" borderId="0" xfId="0" applyNumberFormat="1" applyFont="1" applyFill="1" applyBorder="1" applyAlignment="1">
      <alignment horizontal="right"/>
    </xf>
    <xf numFmtId="0" fontId="26" fillId="25" borderId="62" xfId="0" applyFont="1" applyFill="1" applyBorder="1" applyAlignment="1">
      <alignment horizontal="left"/>
    </xf>
    <xf numFmtId="0" fontId="10" fillId="25" borderId="62" xfId="0" applyFont="1" applyFill="1" applyBorder="1" applyAlignment="1">
      <alignment horizontal="left"/>
    </xf>
    <xf numFmtId="3" fontId="10" fillId="25" borderId="62" xfId="0" applyNumberFormat="1" applyFont="1" applyFill="1" applyBorder="1"/>
    <xf numFmtId="3" fontId="11" fillId="25" borderId="62" xfId="0" applyNumberFormat="1" applyFont="1" applyFill="1" applyBorder="1"/>
    <xf numFmtId="3" fontId="12" fillId="25" borderId="62" xfId="0" applyNumberFormat="1" applyFont="1" applyFill="1" applyBorder="1" applyAlignment="1">
      <alignment horizontal="right"/>
    </xf>
    <xf numFmtId="0" fontId="13" fillId="25" borderId="0" xfId="0" applyFont="1" applyFill="1" applyBorder="1"/>
    <xf numFmtId="0" fontId="7" fillId="25" borderId="0" xfId="0" applyFont="1" applyFill="1" applyBorder="1" applyAlignment="1">
      <alignment horizontal="left"/>
    </xf>
    <xf numFmtId="3" fontId="7" fillId="25" borderId="0" xfId="0" applyNumberFormat="1" applyFont="1" applyFill="1" applyBorder="1"/>
    <xf numFmtId="0" fontId="14" fillId="25" borderId="56" xfId="0" applyFont="1" applyFill="1" applyBorder="1"/>
    <xf numFmtId="0" fontId="14" fillId="25" borderId="63" xfId="0" applyFont="1" applyFill="1" applyBorder="1" applyAlignment="1">
      <alignment horizontal="left"/>
    </xf>
    <xf numFmtId="3" fontId="15" fillId="25" borderId="56" xfId="0" applyNumberFormat="1" applyFont="1" applyFill="1" applyBorder="1" applyAlignment="1">
      <alignment horizontal="center"/>
    </xf>
    <xf numFmtId="3" fontId="16" fillId="27" borderId="56" xfId="0" applyNumberFormat="1" applyFont="1" applyFill="1" applyBorder="1"/>
    <xf numFmtId="3" fontId="17" fillId="27" borderId="64" xfId="0" applyNumberFormat="1" applyFont="1" applyFill="1" applyBorder="1" applyAlignment="1">
      <alignment horizontal="left"/>
    </xf>
    <xf numFmtId="3" fontId="12" fillId="27" borderId="64" xfId="0" applyNumberFormat="1" applyFont="1" applyFill="1" applyBorder="1"/>
    <xf numFmtId="3" fontId="12" fillId="27" borderId="57" xfId="0" applyNumberFormat="1" applyFont="1" applyFill="1" applyBorder="1"/>
    <xf numFmtId="0" fontId="14" fillId="25" borderId="58" xfId="0" applyFont="1" applyFill="1" applyBorder="1"/>
    <xf numFmtId="0" fontId="14" fillId="25" borderId="65" xfId="0" applyFont="1" applyFill="1" applyBorder="1" applyAlignment="1">
      <alignment horizontal="center"/>
    </xf>
    <xf numFmtId="3" fontId="15" fillId="25" borderId="58" xfId="0" applyNumberFormat="1" applyFont="1" applyFill="1" applyBorder="1" applyAlignment="1">
      <alignment horizontal="center"/>
    </xf>
    <xf numFmtId="3" fontId="15" fillId="28" borderId="63" xfId="0" applyNumberFormat="1" applyFont="1" applyFill="1" applyBorder="1" applyAlignment="1">
      <alignment horizontal="center"/>
    </xf>
    <xf numFmtId="3" fontId="15" fillId="27" borderId="66" xfId="0" applyNumberFormat="1" applyFont="1" applyFill="1" applyBorder="1" applyAlignment="1">
      <alignment horizontal="right"/>
    </xf>
    <xf numFmtId="3" fontId="12" fillId="27" borderId="66" xfId="0" applyNumberFormat="1" applyFont="1" applyFill="1" applyBorder="1"/>
    <xf numFmtId="3" fontId="12" fillId="27" borderId="61" xfId="0" applyNumberFormat="1" applyFont="1" applyFill="1" applyBorder="1"/>
    <xf numFmtId="0" fontId="18" fillId="25" borderId="67" xfId="0" applyFont="1" applyFill="1" applyBorder="1" applyAlignment="1">
      <alignment horizontal="left"/>
    </xf>
    <xf numFmtId="0" fontId="19" fillId="25" borderId="67" xfId="0" applyFont="1" applyFill="1" applyBorder="1" applyAlignment="1">
      <alignment horizontal="center"/>
    </xf>
    <xf numFmtId="1" fontId="15" fillId="0" borderId="60" xfId="0" applyNumberFormat="1" applyFont="1" applyFill="1" applyBorder="1" applyAlignment="1">
      <alignment horizontal="center"/>
    </xf>
    <xf numFmtId="1" fontId="15" fillId="25" borderId="60" xfId="0" applyNumberFormat="1" applyFont="1" applyFill="1" applyBorder="1" applyAlignment="1">
      <alignment horizontal="center"/>
    </xf>
    <xf numFmtId="1" fontId="15" fillId="28" borderId="60" xfId="0" applyNumberFormat="1" applyFont="1" applyFill="1" applyBorder="1" applyAlignment="1">
      <alignment horizontal="center"/>
    </xf>
    <xf numFmtId="1" fontId="15" fillId="27" borderId="68" xfId="0" applyNumberFormat="1" applyFont="1" applyFill="1" applyBorder="1" applyAlignment="1">
      <alignment horizontal="center"/>
    </xf>
    <xf numFmtId="1" fontId="15" fillId="27" borderId="55" xfId="0" applyNumberFormat="1" applyFont="1" applyFill="1" applyBorder="1" applyAlignment="1">
      <alignment horizontal="center"/>
    </xf>
    <xf numFmtId="0" fontId="20" fillId="25" borderId="69" xfId="0" applyFont="1" applyFill="1" applyBorder="1"/>
    <xf numFmtId="0" fontId="20" fillId="25" borderId="69" xfId="0" applyFont="1" applyFill="1" applyBorder="1" applyAlignment="1">
      <alignment horizontal="center"/>
    </xf>
    <xf numFmtId="3" fontId="20" fillId="0" borderId="70" xfId="0" applyNumberFormat="1" applyFont="1" applyFill="1" applyBorder="1"/>
    <xf numFmtId="3" fontId="20" fillId="25" borderId="71" xfId="0" applyNumberFormat="1" applyFont="1" applyFill="1" applyBorder="1"/>
    <xf numFmtId="3" fontId="20" fillId="28" borderId="0" xfId="0" applyNumberFormat="1" applyFont="1" applyFill="1"/>
    <xf numFmtId="3" fontId="20" fillId="27" borderId="72" xfId="0" applyNumberFormat="1" applyFont="1" applyFill="1" applyBorder="1"/>
    <xf numFmtId="3" fontId="20" fillId="27" borderId="73" xfId="0" applyNumberFormat="1" applyFont="1" applyFill="1" applyBorder="1"/>
    <xf numFmtId="3" fontId="21" fillId="0" borderId="74" xfId="0" applyNumberFormat="1" applyFont="1" applyFill="1" applyBorder="1"/>
    <xf numFmtId="3" fontId="21" fillId="25" borderId="75" xfId="0" applyNumberFormat="1" applyFont="1" applyFill="1" applyBorder="1"/>
    <xf numFmtId="3" fontId="21" fillId="28" borderId="74" xfId="0" applyNumberFormat="1" applyFont="1" applyFill="1" applyBorder="1"/>
    <xf numFmtId="3" fontId="21" fillId="27" borderId="76" xfId="0" applyNumberFormat="1" applyFont="1" applyFill="1" applyBorder="1"/>
    <xf numFmtId="3" fontId="21" fillId="27" borderId="73" xfId="0" applyNumberFormat="1" applyFont="1" applyFill="1" applyBorder="1"/>
    <xf numFmtId="0" fontId="21" fillId="25" borderId="69" xfId="0" applyFont="1" applyFill="1" applyBorder="1"/>
    <xf numFmtId="0" fontId="21" fillId="25" borderId="69" xfId="0" applyFont="1" applyFill="1" applyBorder="1" applyAlignment="1">
      <alignment horizontal="center"/>
    </xf>
    <xf numFmtId="3" fontId="21" fillId="0" borderId="77" xfId="0" applyNumberFormat="1" applyFont="1" applyFill="1" applyBorder="1"/>
    <xf numFmtId="3" fontId="20" fillId="0" borderId="55" xfId="0" applyNumberFormat="1" applyFont="1" applyFill="1" applyBorder="1"/>
    <xf numFmtId="3" fontId="21" fillId="0" borderId="69" xfId="0" applyNumberFormat="1" applyFont="1" applyFill="1" applyBorder="1"/>
    <xf numFmtId="0" fontId="27" fillId="25" borderId="74" xfId="0" applyFont="1" applyFill="1" applyBorder="1"/>
    <xf numFmtId="0" fontId="21" fillId="25" borderId="74" xfId="0" applyFont="1" applyFill="1" applyBorder="1" applyAlignment="1">
      <alignment horizontal="center"/>
    </xf>
    <xf numFmtId="0" fontId="21" fillId="25" borderId="74" xfId="0" applyFont="1" applyFill="1" applyBorder="1"/>
    <xf numFmtId="0" fontId="28" fillId="25" borderId="78" xfId="0" applyFont="1" applyFill="1" applyBorder="1"/>
    <xf numFmtId="0" fontId="28" fillId="25" borderId="79" xfId="0" applyFont="1" applyFill="1" applyBorder="1" applyAlignment="1">
      <alignment horizontal="left"/>
    </xf>
    <xf numFmtId="3" fontId="28" fillId="0" borderId="80" xfId="0" applyNumberFormat="1" applyFont="1" applyFill="1" applyBorder="1"/>
    <xf numFmtId="3" fontId="28" fillId="25" borderId="79" xfId="0" applyNumberFormat="1" applyFont="1" applyFill="1" applyBorder="1"/>
    <xf numFmtId="3" fontId="20" fillId="28" borderId="81" xfId="0" applyNumberFormat="1" applyFont="1" applyFill="1" applyBorder="1"/>
    <xf numFmtId="3" fontId="28" fillId="27" borderId="82" xfId="0" applyNumberFormat="1" applyFont="1" applyFill="1" applyBorder="1"/>
    <xf numFmtId="3" fontId="28" fillId="27" borderId="80" xfId="0" applyNumberFormat="1" applyFont="1" applyFill="1" applyBorder="1"/>
    <xf numFmtId="0" fontId="21" fillId="0" borderId="30" xfId="0" applyFont="1" applyFill="1" applyBorder="1" applyAlignment="1">
      <alignment horizontal="center"/>
    </xf>
    <xf numFmtId="0" fontId="44" fillId="24" borderId="0" xfId="0" applyFont="1" applyFill="1" applyBorder="1"/>
    <xf numFmtId="0" fontId="45" fillId="24" borderId="0" xfId="0" applyFont="1" applyFill="1" applyBorder="1" applyAlignment="1">
      <alignment horizontal="center"/>
    </xf>
    <xf numFmtId="3" fontId="45" fillId="24" borderId="0" xfId="0" applyNumberFormat="1" applyFont="1" applyFill="1" applyBorder="1"/>
    <xf numFmtId="0" fontId="45" fillId="24" borderId="0" xfId="0" applyFont="1" applyFill="1"/>
    <xf numFmtId="0" fontId="46" fillId="24" borderId="0" xfId="0" applyFont="1" applyFill="1"/>
    <xf numFmtId="0" fontId="46" fillId="24" borderId="0" xfId="0" applyFont="1" applyFill="1" applyAlignment="1">
      <alignment horizontal="center"/>
    </xf>
    <xf numFmtId="3" fontId="46" fillId="24" borderId="0" xfId="0" applyNumberFormat="1" applyFont="1" applyFill="1"/>
    <xf numFmtId="3" fontId="46" fillId="24" borderId="0" xfId="0" applyNumberFormat="1" applyFont="1" applyFill="1" applyBorder="1" applyAlignment="1">
      <alignment horizontal="right"/>
    </xf>
    <xf numFmtId="0" fontId="20" fillId="24" borderId="30" xfId="0" applyFont="1" applyFill="1" applyBorder="1" applyAlignment="1">
      <alignment horizontal="center"/>
    </xf>
    <xf numFmtId="3" fontId="21" fillId="0" borderId="27" xfId="0" applyNumberFormat="1" applyFont="1" applyFill="1" applyBorder="1"/>
    <xf numFmtId="0" fontId="14" fillId="24" borderId="87" xfId="0" applyFont="1" applyFill="1" applyBorder="1"/>
    <xf numFmtId="0" fontId="14" fillId="24" borderId="58" xfId="0" applyFont="1" applyFill="1" applyBorder="1"/>
    <xf numFmtId="0" fontId="18" fillId="24" borderId="88" xfId="0" applyFont="1" applyFill="1" applyBorder="1" applyAlignment="1">
      <alignment horizontal="left"/>
    </xf>
    <xf numFmtId="0" fontId="20" fillId="24" borderId="89" xfId="0" applyFont="1" applyFill="1" applyBorder="1"/>
    <xf numFmtId="0" fontId="20" fillId="24" borderId="90" xfId="0" applyFont="1" applyFill="1" applyBorder="1"/>
    <xf numFmtId="0" fontId="21" fillId="24" borderId="93" xfId="0" applyFont="1" applyFill="1" applyBorder="1"/>
    <xf numFmtId="3" fontId="21" fillId="24" borderId="28" xfId="0" applyNumberFormat="1" applyFont="1" applyFill="1" applyBorder="1" applyAlignment="1">
      <alignment horizontal="right"/>
    </xf>
    <xf numFmtId="1" fontId="21" fillId="0" borderId="28" xfId="40" applyNumberFormat="1" applyFont="1" applyFill="1" applyBorder="1" applyAlignment="1" applyProtection="1">
      <alignment horizontal="center"/>
    </xf>
    <xf numFmtId="3" fontId="21" fillId="0" borderId="30" xfId="40" applyNumberFormat="1" applyFont="1" applyFill="1" applyBorder="1" applyAlignment="1" applyProtection="1"/>
    <xf numFmtId="0" fontId="21" fillId="0" borderId="30" xfId="0" applyFont="1" applyFill="1" applyBorder="1"/>
    <xf numFmtId="3" fontId="21" fillId="0" borderId="28" xfId="0" applyNumberFormat="1" applyFont="1" applyFill="1" applyBorder="1" applyAlignment="1">
      <alignment horizontal="right"/>
    </xf>
    <xf numFmtId="3" fontId="21" fillId="24" borderId="30" xfId="0" applyNumberFormat="1" applyFont="1" applyFill="1" applyBorder="1" applyAlignment="1">
      <alignment horizontal="right"/>
    </xf>
    <xf numFmtId="3" fontId="20" fillId="24" borderId="22" xfId="0" applyNumberFormat="1" applyFont="1" applyFill="1" applyBorder="1" applyAlignment="1">
      <alignment horizontal="right"/>
    </xf>
    <xf numFmtId="3" fontId="20" fillId="24" borderId="96" xfId="0" applyNumberFormat="1" applyFont="1" applyFill="1" applyBorder="1"/>
    <xf numFmtId="3" fontId="7" fillId="24" borderId="0" xfId="0" applyNumberFormat="1" applyFont="1" applyFill="1"/>
    <xf numFmtId="0" fontId="21" fillId="29" borderId="28" xfId="0" applyFont="1" applyFill="1" applyBorder="1"/>
    <xf numFmtId="0" fontId="20" fillId="24" borderId="91" xfId="0" applyFont="1" applyFill="1" applyBorder="1"/>
    <xf numFmtId="3" fontId="21" fillId="30" borderId="27" xfId="0" applyNumberFormat="1" applyFont="1" applyFill="1" applyBorder="1"/>
    <xf numFmtId="0" fontId="7" fillId="24" borderId="0" xfId="0" applyFont="1" applyFill="1" applyBorder="1" applyAlignment="1">
      <alignment horizontal="center"/>
    </xf>
    <xf numFmtId="3" fontId="7" fillId="24" borderId="0" xfId="0" applyNumberFormat="1" applyFont="1" applyFill="1" applyBorder="1"/>
    <xf numFmtId="0" fontId="14" fillId="24" borderId="97" xfId="0" applyFont="1" applyFill="1" applyBorder="1"/>
    <xf numFmtId="0" fontId="14" fillId="24" borderId="98" xfId="0" applyFont="1" applyFill="1" applyBorder="1"/>
    <xf numFmtId="0" fontId="20" fillId="24" borderId="99" xfId="0" applyFont="1" applyFill="1" applyBorder="1"/>
    <xf numFmtId="0" fontId="21" fillId="24" borderId="99" xfId="0" applyFont="1" applyFill="1" applyBorder="1"/>
    <xf numFmtId="0" fontId="20" fillId="0" borderId="54" xfId="0" applyFont="1" applyFill="1" applyBorder="1"/>
    <xf numFmtId="0" fontId="21" fillId="24" borderId="54" xfId="0" applyFont="1" applyFill="1" applyBorder="1"/>
    <xf numFmtId="0" fontId="21" fillId="0" borderId="54" xfId="0" applyFont="1" applyFill="1" applyBorder="1"/>
    <xf numFmtId="0" fontId="21" fillId="24" borderId="100" xfId="0" applyFont="1" applyFill="1" applyBorder="1"/>
    <xf numFmtId="0" fontId="14" fillId="0" borderId="87" xfId="0" applyFont="1" applyFill="1" applyBorder="1"/>
    <xf numFmtId="0" fontId="14" fillId="0" borderId="58" xfId="0" applyFont="1" applyFill="1" applyBorder="1"/>
    <xf numFmtId="0" fontId="18" fillId="0" borderId="88" xfId="0" applyFont="1" applyFill="1" applyBorder="1" applyAlignment="1">
      <alignment horizontal="left"/>
    </xf>
    <xf numFmtId="3" fontId="21" fillId="30" borderId="85" xfId="0" applyNumberFormat="1" applyFont="1" applyFill="1" applyBorder="1"/>
    <xf numFmtId="0" fontId="7" fillId="24" borderId="0" xfId="0" applyFont="1" applyFill="1"/>
    <xf numFmtId="3" fontId="12" fillId="18" borderId="106" xfId="0" applyNumberFormat="1" applyFont="1" applyFill="1" applyBorder="1"/>
    <xf numFmtId="3" fontId="12" fillId="18" borderId="61" xfId="0" applyNumberFormat="1" applyFont="1" applyFill="1" applyBorder="1"/>
    <xf numFmtId="3" fontId="67" fillId="24" borderId="0" xfId="0" applyNumberFormat="1" applyFont="1" applyFill="1" applyAlignment="1">
      <alignment horizontal="right"/>
    </xf>
    <xf numFmtId="0" fontId="0" fillId="24" borderId="0" xfId="0" applyFont="1" applyFill="1"/>
    <xf numFmtId="0" fontId="21" fillId="24" borderId="30" xfId="0" applyFont="1" applyFill="1" applyBorder="1" applyAlignment="1">
      <alignment horizontal="center"/>
    </xf>
    <xf numFmtId="3" fontId="21" fillId="24" borderId="30" xfId="0" applyNumberFormat="1" applyFont="1" applyFill="1" applyBorder="1"/>
    <xf numFmtId="0" fontId="21" fillId="24" borderId="28" xfId="0" applyFont="1" applyFill="1" applyBorder="1"/>
    <xf numFmtId="0" fontId="7" fillId="24" borderId="0" xfId="0" applyFont="1" applyFill="1"/>
    <xf numFmtId="0" fontId="21" fillId="0" borderId="92" xfId="30" applyFont="1" applyFill="1" applyBorder="1"/>
    <xf numFmtId="0" fontId="21" fillId="29" borderId="28" xfId="0" applyFont="1" applyFill="1" applyBorder="1" applyAlignment="1">
      <alignment horizontal="center"/>
    </xf>
    <xf numFmtId="3" fontId="21" fillId="29" borderId="37" xfId="0" applyNumberFormat="1" applyFont="1" applyFill="1" applyBorder="1"/>
    <xf numFmtId="37" fontId="21" fillId="0" borderId="107" xfId="0" applyNumberFormat="1" applyFont="1" applyFill="1" applyBorder="1"/>
    <xf numFmtId="3" fontId="16" fillId="18" borderId="87" xfId="0" applyNumberFormat="1" applyFont="1" applyFill="1" applyBorder="1"/>
    <xf numFmtId="3" fontId="15" fillId="4" borderId="97" xfId="0" applyNumberFormat="1" applyFont="1" applyFill="1" applyBorder="1" applyAlignment="1">
      <alignment horizontal="center"/>
    </xf>
    <xf numFmtId="1" fontId="15" fillId="4" borderId="108" xfId="0" applyNumberFormat="1" applyFont="1" applyFill="1" applyBorder="1" applyAlignment="1">
      <alignment horizontal="center"/>
    </xf>
    <xf numFmtId="3" fontId="21" fillId="30" borderId="26" xfId="0" applyNumberFormat="1" applyFont="1" applyFill="1" applyBorder="1"/>
    <xf numFmtId="3" fontId="20" fillId="32" borderId="94" xfId="0" applyNumberFormat="1" applyFont="1" applyFill="1" applyBorder="1"/>
    <xf numFmtId="3" fontId="20" fillId="32" borderId="81" xfId="0" applyNumberFormat="1" applyFont="1" applyFill="1" applyBorder="1"/>
    <xf numFmtId="3" fontId="20" fillId="33" borderId="80" xfId="0" applyNumberFormat="1" applyFont="1" applyFill="1" applyBorder="1"/>
    <xf numFmtId="3" fontId="21" fillId="34" borderId="25" xfId="0" applyNumberFormat="1" applyFont="1" applyFill="1" applyBorder="1"/>
    <xf numFmtId="3" fontId="20" fillId="34" borderId="32" xfId="0" applyNumberFormat="1" applyFont="1" applyFill="1" applyBorder="1"/>
    <xf numFmtId="3" fontId="20" fillId="34" borderId="17" xfId="0" applyNumberFormat="1" applyFont="1" applyFill="1" applyBorder="1"/>
    <xf numFmtId="3" fontId="21" fillId="34" borderId="33" xfId="0" applyNumberFormat="1" applyFont="1" applyFill="1" applyBorder="1"/>
    <xf numFmtId="3" fontId="21" fillId="30" borderId="24" xfId="0" applyNumberFormat="1" applyFont="1" applyFill="1" applyBorder="1"/>
    <xf numFmtId="3" fontId="21" fillId="30" borderId="31" xfId="0" applyNumberFormat="1" applyFont="1" applyFill="1" applyBorder="1"/>
    <xf numFmtId="3" fontId="21" fillId="30" borderId="52" xfId="0" applyNumberFormat="1" applyFont="1" applyFill="1" applyBorder="1"/>
    <xf numFmtId="3" fontId="20" fillId="30" borderId="22" xfId="0" applyNumberFormat="1" applyFont="1" applyFill="1" applyBorder="1"/>
    <xf numFmtId="3" fontId="20" fillId="30" borderId="51" xfId="0" applyNumberFormat="1" applyFont="1" applyFill="1" applyBorder="1"/>
    <xf numFmtId="3" fontId="20" fillId="30" borderId="15" xfId="0" applyNumberFormat="1" applyFont="1" applyFill="1" applyBorder="1"/>
    <xf numFmtId="3" fontId="20" fillId="30" borderId="105" xfId="0" applyNumberFormat="1" applyFont="1" applyFill="1" applyBorder="1"/>
    <xf numFmtId="3" fontId="67" fillId="24" borderId="10" xfId="0" applyNumberFormat="1" applyFont="1" applyFill="1" applyBorder="1"/>
    <xf numFmtId="3" fontId="69" fillId="24" borderId="10" xfId="0" applyNumberFormat="1" applyFont="1" applyFill="1" applyBorder="1"/>
    <xf numFmtId="3" fontId="70" fillId="24" borderId="10" xfId="0" applyNumberFormat="1" applyFont="1" applyFill="1" applyBorder="1" applyAlignment="1">
      <alignment horizontal="right"/>
    </xf>
    <xf numFmtId="3" fontId="21" fillId="34" borderId="99" xfId="0" applyNumberFormat="1" applyFont="1" applyFill="1" applyBorder="1"/>
    <xf numFmtId="166" fontId="20" fillId="34" borderId="109" xfId="40" applyNumberFormat="1" applyFont="1" applyFill="1" applyBorder="1" applyAlignment="1" applyProtection="1">
      <alignment horizontal="right"/>
    </xf>
    <xf numFmtId="166" fontId="21" fillId="34" borderId="90" xfId="40" applyNumberFormat="1" applyFont="1" applyFill="1" applyBorder="1" applyAlignment="1" applyProtection="1"/>
    <xf numFmtId="37" fontId="20" fillId="34" borderId="110" xfId="0" applyNumberFormat="1" applyFont="1" applyFill="1" applyBorder="1"/>
    <xf numFmtId="3" fontId="21" fillId="34" borderId="89" xfId="0" applyNumberFormat="1" applyFont="1" applyFill="1" applyBorder="1"/>
    <xf numFmtId="3" fontId="20" fillId="34" borderId="109" xfId="0" applyNumberFormat="1" applyFont="1" applyFill="1" applyBorder="1"/>
    <xf numFmtId="3" fontId="21" fillId="34" borderId="101" xfId="0" applyNumberFormat="1" applyFont="1" applyFill="1" applyBorder="1" applyAlignment="1">
      <alignment horizontal="right"/>
    </xf>
    <xf numFmtId="3" fontId="21" fillId="34" borderId="54" xfId="0" applyNumberFormat="1" applyFont="1" applyFill="1" applyBorder="1" applyAlignment="1">
      <alignment horizontal="right"/>
    </xf>
    <xf numFmtId="3" fontId="21" fillId="34" borderId="90" xfId="0" applyNumberFormat="1" applyFont="1" applyFill="1" applyBorder="1" applyAlignment="1">
      <alignment horizontal="right"/>
    </xf>
    <xf numFmtId="3" fontId="20" fillId="34" borderId="109" xfId="0" applyNumberFormat="1" applyFont="1" applyFill="1" applyBorder="1" applyAlignment="1">
      <alignment horizontal="right"/>
    </xf>
    <xf numFmtId="3" fontId="20" fillId="34" borderId="58" xfId="0" applyNumberFormat="1" applyFont="1" applyFill="1" applyBorder="1"/>
    <xf numFmtId="1" fontId="15" fillId="30" borderId="22" xfId="0" applyNumberFormat="1" applyFont="1" applyFill="1" applyBorder="1" applyAlignment="1">
      <alignment horizontal="center"/>
    </xf>
    <xf numFmtId="1" fontId="15" fillId="30" borderId="23" xfId="0" applyNumberFormat="1" applyFont="1" applyFill="1" applyBorder="1" applyAlignment="1">
      <alignment horizontal="center"/>
    </xf>
    <xf numFmtId="1" fontId="15" fillId="30" borderId="20" xfId="0" applyNumberFormat="1" applyFont="1" applyFill="1" applyBorder="1" applyAlignment="1">
      <alignment horizontal="center"/>
    </xf>
    <xf numFmtId="166" fontId="21" fillId="30" borderId="24" xfId="40" applyNumberFormat="1" applyFont="1" applyFill="1" applyBorder="1" applyAlignment="1" applyProtection="1"/>
    <xf numFmtId="166" fontId="21" fillId="30" borderId="31" xfId="40" applyNumberFormat="1" applyFont="1" applyFill="1" applyBorder="1" applyAlignment="1" applyProtection="1"/>
    <xf numFmtId="37" fontId="20" fillId="30" borderId="23" xfId="0" applyNumberFormat="1" applyFont="1" applyFill="1" applyBorder="1"/>
    <xf numFmtId="37" fontId="20" fillId="30" borderId="51" xfId="0" applyNumberFormat="1" applyFont="1" applyFill="1" applyBorder="1"/>
    <xf numFmtId="3" fontId="20" fillId="30" borderId="23" xfId="0" applyNumberFormat="1" applyFont="1" applyFill="1" applyBorder="1"/>
    <xf numFmtId="3" fontId="21" fillId="30" borderId="28" xfId="0" applyNumberFormat="1" applyFont="1" applyFill="1" applyBorder="1"/>
    <xf numFmtId="3" fontId="21" fillId="30" borderId="28" xfId="0" applyNumberFormat="1" applyFont="1" applyFill="1" applyBorder="1" applyAlignment="1">
      <alignment horizontal="right"/>
    </xf>
    <xf numFmtId="3" fontId="21" fillId="30" borderId="85" xfId="0" applyNumberFormat="1" applyFont="1" applyFill="1" applyBorder="1" applyAlignment="1">
      <alignment horizontal="right"/>
    </xf>
    <xf numFmtId="3" fontId="21" fillId="30" borderId="27" xfId="0" applyNumberFormat="1" applyFont="1" applyFill="1" applyBorder="1" applyAlignment="1">
      <alignment horizontal="right"/>
    </xf>
    <xf numFmtId="3" fontId="21" fillId="30" borderId="95" xfId="0" applyNumberFormat="1" applyFont="1" applyFill="1" applyBorder="1" applyAlignment="1">
      <alignment horizontal="right"/>
    </xf>
    <xf numFmtId="3" fontId="20" fillId="30" borderId="22" xfId="0" applyNumberFormat="1" applyFont="1" applyFill="1" applyBorder="1" applyAlignment="1">
      <alignment horizontal="right"/>
    </xf>
    <xf numFmtId="3" fontId="20" fillId="30" borderId="23" xfId="0" applyNumberFormat="1" applyFont="1" applyFill="1" applyBorder="1" applyAlignment="1">
      <alignment horizontal="right"/>
    </xf>
    <xf numFmtId="3" fontId="20" fillId="30" borderId="16" xfId="0" applyNumberFormat="1" applyFont="1" applyFill="1" applyBorder="1"/>
    <xf numFmtId="3" fontId="20" fillId="34" borderId="0" xfId="0" applyNumberFormat="1" applyFont="1" applyFill="1"/>
    <xf numFmtId="3" fontId="21" fillId="34" borderId="27" xfId="0" applyNumberFormat="1" applyFont="1" applyFill="1" applyBorder="1"/>
    <xf numFmtId="3" fontId="20" fillId="34" borderId="34" xfId="0" applyNumberFormat="1" applyFont="1" applyFill="1" applyBorder="1"/>
    <xf numFmtId="3" fontId="20" fillId="30" borderId="36" xfId="0" applyNumberFormat="1" applyFont="1" applyFill="1" applyBorder="1"/>
    <xf numFmtId="3" fontId="20" fillId="30" borderId="26" xfId="0" applyNumberFormat="1" applyFont="1" applyFill="1" applyBorder="1"/>
    <xf numFmtId="3" fontId="20" fillId="30" borderId="31" xfId="0" applyNumberFormat="1" applyFont="1" applyFill="1" applyBorder="1"/>
    <xf numFmtId="3" fontId="20" fillId="30" borderId="34" xfId="0" applyNumberFormat="1" applyFont="1" applyFill="1" applyBorder="1"/>
    <xf numFmtId="3" fontId="20" fillId="34" borderId="26" xfId="0" applyNumberFormat="1" applyFont="1" applyFill="1" applyBorder="1"/>
    <xf numFmtId="3" fontId="21" fillId="34" borderId="42" xfId="0" applyNumberFormat="1" applyFont="1" applyFill="1" applyBorder="1"/>
    <xf numFmtId="3" fontId="21" fillId="30" borderId="30" xfId="0" applyNumberFormat="1" applyFont="1" applyFill="1" applyBorder="1"/>
    <xf numFmtId="3" fontId="21" fillId="30" borderId="29" xfId="0" applyNumberFormat="1" applyFont="1" applyFill="1" applyBorder="1"/>
    <xf numFmtId="3" fontId="21" fillId="34" borderId="29" xfId="0" applyNumberFormat="1" applyFont="1" applyFill="1" applyBorder="1"/>
    <xf numFmtId="3" fontId="20" fillId="34" borderId="27" xfId="0" applyNumberFormat="1" applyFont="1" applyFill="1" applyBorder="1"/>
    <xf numFmtId="3" fontId="20" fillId="34" borderId="29" xfId="0" applyNumberFormat="1" applyFont="1" applyFill="1" applyBorder="1"/>
    <xf numFmtId="3" fontId="20" fillId="30" borderId="27" xfId="0" applyNumberFormat="1" applyFont="1" applyFill="1" applyBorder="1"/>
    <xf numFmtId="3" fontId="21" fillId="34" borderId="26" xfId="0" applyNumberFormat="1" applyFont="1" applyFill="1" applyBorder="1"/>
    <xf numFmtId="3" fontId="21" fillId="34" borderId="28" xfId="0" applyNumberFormat="1" applyFont="1" applyFill="1" applyBorder="1"/>
    <xf numFmtId="3" fontId="21" fillId="34" borderId="46" xfId="0" applyNumberFormat="1" applyFont="1" applyFill="1" applyBorder="1"/>
    <xf numFmtId="3" fontId="21" fillId="34" borderId="45" xfId="0" applyNumberFormat="1" applyFont="1" applyFill="1" applyBorder="1"/>
    <xf numFmtId="3" fontId="17" fillId="30" borderId="13" xfId="0" applyNumberFormat="1" applyFont="1" applyFill="1" applyBorder="1" applyAlignment="1">
      <alignment horizontal="left"/>
    </xf>
    <xf numFmtId="3" fontId="12" fillId="30" borderId="13" xfId="0" applyNumberFormat="1" applyFont="1" applyFill="1" applyBorder="1"/>
    <xf numFmtId="3" fontId="12" fillId="30" borderId="14" xfId="0" applyNumberFormat="1" applyFont="1" applyFill="1" applyBorder="1"/>
    <xf numFmtId="3" fontId="15" fillId="30" borderId="18" xfId="0" applyNumberFormat="1" applyFont="1" applyFill="1" applyBorder="1" applyAlignment="1">
      <alignment horizontal="right"/>
    </xf>
    <xf numFmtId="3" fontId="12" fillId="30" borderId="18" xfId="0" applyNumberFormat="1" applyFont="1" applyFill="1" applyBorder="1"/>
    <xf numFmtId="3" fontId="12" fillId="30" borderId="19" xfId="0" applyNumberFormat="1" applyFont="1" applyFill="1" applyBorder="1"/>
    <xf numFmtId="3" fontId="21" fillId="30" borderId="15" xfId="0" applyNumberFormat="1" applyFont="1" applyFill="1" applyBorder="1"/>
    <xf numFmtId="3" fontId="21" fillId="30" borderId="16" xfId="0" applyNumberFormat="1" applyFont="1" applyFill="1" applyBorder="1"/>
    <xf numFmtId="3" fontId="21" fillId="30" borderId="105" xfId="0" applyNumberFormat="1" applyFont="1" applyFill="1" applyBorder="1"/>
    <xf numFmtId="3" fontId="21" fillId="34" borderId="47" xfId="0" applyNumberFormat="1" applyFont="1" applyFill="1" applyBorder="1"/>
    <xf numFmtId="3" fontId="21" fillId="35" borderId="33" xfId="0" applyNumberFormat="1" applyFont="1" applyFill="1" applyBorder="1"/>
    <xf numFmtId="0" fontId="20" fillId="29" borderId="89" xfId="0" applyFont="1" applyFill="1" applyBorder="1"/>
    <xf numFmtId="0" fontId="20" fillId="29" borderId="24" xfId="0" applyFont="1" applyFill="1" applyBorder="1" applyAlignment="1">
      <alignment horizontal="center"/>
    </xf>
    <xf numFmtId="0" fontId="21" fillId="29" borderId="101" xfId="0" applyFont="1" applyFill="1" applyBorder="1"/>
    <xf numFmtId="0" fontId="20" fillId="36" borderId="101" xfId="0" applyFont="1" applyFill="1" applyBorder="1"/>
    <xf numFmtId="0" fontId="20" fillId="0" borderId="15" xfId="0" applyFont="1" applyFill="1" applyBorder="1"/>
    <xf numFmtId="3" fontId="20" fillId="24" borderId="16" xfId="0" applyNumberFormat="1" applyFont="1" applyFill="1" applyBorder="1"/>
    <xf numFmtId="0" fontId="10" fillId="24" borderId="0" xfId="0" applyFont="1" applyFill="1"/>
    <xf numFmtId="0" fontId="10" fillId="37" borderId="113" xfId="0" applyFont="1" applyFill="1" applyBorder="1"/>
    <xf numFmtId="0" fontId="10" fillId="37" borderId="114" xfId="0" applyFont="1" applyFill="1" applyBorder="1" applyAlignment="1">
      <alignment horizontal="left"/>
    </xf>
    <xf numFmtId="3" fontId="10" fillId="37" borderId="115" xfId="0" applyNumberFormat="1" applyFont="1" applyFill="1" applyBorder="1"/>
    <xf numFmtId="3" fontId="21" fillId="0" borderId="37" xfId="0" applyNumberFormat="1" applyFont="1" applyFill="1" applyBorder="1"/>
    <xf numFmtId="0" fontId="20" fillId="24" borderId="116" xfId="0" applyFont="1" applyFill="1" applyBorder="1"/>
    <xf numFmtId="0" fontId="20" fillId="24" borderId="117" xfId="0" applyFont="1" applyFill="1" applyBorder="1" applyAlignment="1">
      <alignment horizontal="center"/>
    </xf>
    <xf numFmtId="3" fontId="20" fillId="24" borderId="118" xfId="0" applyNumberFormat="1" applyFont="1" applyFill="1" applyBorder="1"/>
    <xf numFmtId="3" fontId="20" fillId="18" borderId="84" xfId="0" applyNumberFormat="1" applyFont="1" applyFill="1" applyBorder="1"/>
    <xf numFmtId="3" fontId="20" fillId="4" borderId="119" xfId="0" applyNumberFormat="1" applyFont="1" applyFill="1" applyBorder="1"/>
    <xf numFmtId="3" fontId="20" fillId="18" borderId="120" xfId="0" applyNumberFormat="1" applyFont="1" applyFill="1" applyBorder="1"/>
    <xf numFmtId="166" fontId="20" fillId="24" borderId="120" xfId="40" applyNumberFormat="1" applyFont="1" applyFill="1" applyBorder="1" applyAlignment="1" applyProtection="1">
      <alignment horizontal="center"/>
    </xf>
    <xf numFmtId="3" fontId="20" fillId="24" borderId="121" xfId="0" applyNumberFormat="1" applyFont="1" applyFill="1" applyBorder="1"/>
    <xf numFmtId="3" fontId="20" fillId="31" borderId="122" xfId="0" applyNumberFormat="1" applyFont="1" applyFill="1" applyBorder="1"/>
    <xf numFmtId="3" fontId="20" fillId="34" borderId="123" xfId="0" applyNumberFormat="1" applyFont="1" applyFill="1" applyBorder="1"/>
    <xf numFmtId="3" fontId="21" fillId="0" borderId="30" xfId="0" applyNumberFormat="1" applyFont="1" applyFill="1" applyBorder="1"/>
    <xf numFmtId="166" fontId="71" fillId="30" borderId="22" xfId="40" applyNumberFormat="1" applyFont="1" applyFill="1" applyBorder="1" applyAlignment="1" applyProtection="1"/>
    <xf numFmtId="166" fontId="71" fillId="30" borderId="55" xfId="40" applyNumberFormat="1" applyFont="1" applyFill="1" applyBorder="1" applyAlignment="1" applyProtection="1"/>
    <xf numFmtId="0" fontId="21" fillId="36" borderId="54" xfId="71" applyFont="1" applyFill="1" applyBorder="1"/>
    <xf numFmtId="3" fontId="21" fillId="30" borderId="99" xfId="0" applyNumberFormat="1" applyFont="1" applyFill="1" applyBorder="1"/>
    <xf numFmtId="166" fontId="21" fillId="30" borderId="27" xfId="40" applyNumberFormat="1" applyFont="1" applyFill="1" applyBorder="1" applyAlignment="1" applyProtection="1"/>
    <xf numFmtId="3" fontId="21" fillId="30" borderId="125" xfId="0" applyNumberFormat="1" applyFont="1" applyFill="1" applyBorder="1"/>
    <xf numFmtId="3" fontId="21" fillId="30" borderId="126" xfId="0" applyNumberFormat="1" applyFont="1" applyFill="1" applyBorder="1"/>
    <xf numFmtId="3" fontId="21" fillId="18" borderId="126" xfId="0" applyNumberFormat="1" applyFont="1" applyFill="1" applyBorder="1"/>
    <xf numFmtId="3" fontId="21" fillId="0" borderId="126" xfId="0" applyNumberFormat="1" applyFont="1" applyFill="1" applyBorder="1"/>
    <xf numFmtId="3" fontId="21" fillId="34" borderId="126" xfId="0" applyNumberFormat="1" applyFont="1" applyFill="1" applyBorder="1"/>
    <xf numFmtId="0" fontId="21" fillId="29" borderId="27" xfId="0" applyFont="1" applyFill="1" applyBorder="1" applyAlignment="1">
      <alignment horizontal="center"/>
    </xf>
    <xf numFmtId="0" fontId="21" fillId="29" borderId="126" xfId="0" applyFont="1" applyFill="1" applyBorder="1" applyAlignment="1">
      <alignment horizontal="center"/>
    </xf>
    <xf numFmtId="3" fontId="21" fillId="35" borderId="27" xfId="0" applyNumberFormat="1" applyFont="1" applyFill="1" applyBorder="1"/>
    <xf numFmtId="0" fontId="21" fillId="36" borderId="101" xfId="71" applyFont="1" applyFill="1" applyBorder="1"/>
    <xf numFmtId="0" fontId="20" fillId="24" borderId="102" xfId="0" applyFont="1" applyFill="1" applyBorder="1"/>
    <xf numFmtId="0" fontId="20" fillId="24" borderId="103" xfId="0" applyFont="1" applyFill="1" applyBorder="1" applyAlignment="1">
      <alignment horizontal="center"/>
    </xf>
    <xf numFmtId="3" fontId="20" fillId="24" borderId="103" xfId="0" applyNumberFormat="1" applyFont="1" applyFill="1" applyBorder="1"/>
    <xf numFmtId="3" fontId="20" fillId="34" borderId="103" xfId="0" applyNumberFormat="1" applyFont="1" applyFill="1" applyBorder="1"/>
    <xf numFmtId="3" fontId="20" fillId="30" borderId="103" xfId="0" applyNumberFormat="1" applyFont="1" applyFill="1" applyBorder="1"/>
    <xf numFmtId="3" fontId="20" fillId="30" borderId="104" xfId="0" applyNumberFormat="1" applyFont="1" applyFill="1" applyBorder="1"/>
    <xf numFmtId="3" fontId="21" fillId="30" borderId="127" xfId="0" applyNumberFormat="1" applyFont="1" applyFill="1" applyBorder="1"/>
    <xf numFmtId="3" fontId="21" fillId="18" borderId="124" xfId="0" applyNumberFormat="1" applyFont="1" applyFill="1" applyBorder="1"/>
    <xf numFmtId="1" fontId="15" fillId="4" borderId="128" xfId="0" applyNumberFormat="1" applyFont="1" applyFill="1" applyBorder="1" applyAlignment="1">
      <alignment horizontal="center"/>
    </xf>
    <xf numFmtId="3" fontId="66" fillId="30" borderId="30" xfId="0" applyNumberFormat="1" applyFont="1" applyFill="1" applyBorder="1"/>
    <xf numFmtId="3" fontId="66" fillId="30" borderId="126" xfId="0" applyNumberFormat="1" applyFont="1" applyFill="1" applyBorder="1"/>
    <xf numFmtId="0" fontId="72" fillId="24" borderId="0" xfId="0" applyFont="1" applyFill="1"/>
    <xf numFmtId="0" fontId="73" fillId="24" borderId="0" xfId="0" applyFont="1" applyFill="1"/>
    <xf numFmtId="0" fontId="74" fillId="24" borderId="0" xfId="0" applyFont="1" applyFill="1"/>
    <xf numFmtId="1" fontId="20" fillId="34" borderId="101" xfId="0" applyNumberFormat="1" applyFont="1" applyFill="1" applyBorder="1" applyAlignment="1">
      <alignment horizontal="center"/>
    </xf>
    <xf numFmtId="1" fontId="20" fillId="30" borderId="28" xfId="0" applyNumberFormat="1" applyFont="1" applyFill="1" applyBorder="1" applyAlignment="1">
      <alignment horizontal="center"/>
    </xf>
    <xf numFmtId="1" fontId="20" fillId="30" borderId="27" xfId="0" applyNumberFormat="1" applyFont="1" applyFill="1" applyBorder="1" applyAlignment="1">
      <alignment horizontal="center"/>
    </xf>
    <xf numFmtId="37" fontId="21" fillId="0" borderId="126" xfId="0" applyNumberFormat="1" applyFont="1" applyFill="1" applyBorder="1"/>
    <xf numFmtId="3" fontId="21" fillId="31" borderId="89" xfId="0" applyNumberFormat="1" applyFont="1" applyFill="1" applyBorder="1"/>
    <xf numFmtId="3" fontId="21" fillId="0" borderId="28" xfId="75" applyNumberFormat="1" applyFont="1" applyFill="1" applyBorder="1"/>
    <xf numFmtId="3" fontId="21" fillId="0" borderId="28" xfId="75" applyNumberFormat="1" applyFont="1" applyFill="1" applyBorder="1"/>
    <xf numFmtId="3" fontId="21" fillId="0" borderId="30" xfId="75" applyNumberFormat="1" applyFont="1" applyFill="1" applyBorder="1"/>
    <xf numFmtId="3" fontId="21" fillId="0" borderId="28" xfId="75" applyNumberFormat="1" applyFont="1" applyFill="1" applyBorder="1"/>
    <xf numFmtId="3" fontId="21" fillId="0" borderId="28" xfId="75" applyNumberFormat="1" applyFont="1" applyFill="1" applyBorder="1"/>
    <xf numFmtId="3" fontId="21" fillId="0" borderId="28" xfId="75" applyNumberFormat="1" applyFont="1" applyFill="1" applyBorder="1"/>
    <xf numFmtId="3" fontId="21" fillId="0" borderId="28" xfId="75" applyNumberFormat="1" applyFont="1" applyFill="1" applyBorder="1"/>
    <xf numFmtId="3" fontId="21" fillId="24" borderId="28" xfId="75" applyNumberFormat="1" applyFont="1" applyFill="1" applyBorder="1" applyAlignment="1"/>
    <xf numFmtId="3" fontId="21" fillId="24" borderId="30" xfId="75" applyNumberFormat="1" applyFont="1" applyFill="1" applyBorder="1" applyAlignment="1"/>
    <xf numFmtId="3" fontId="66" fillId="30" borderId="27" xfId="0" applyNumberFormat="1" applyFont="1" applyFill="1" applyBorder="1"/>
    <xf numFmtId="0" fontId="21" fillId="0" borderId="24" xfId="0" applyFont="1" applyFill="1" applyBorder="1" applyAlignment="1">
      <alignment horizontal="center"/>
    </xf>
    <xf numFmtId="3" fontId="66" fillId="4" borderId="28" xfId="0" applyNumberFormat="1" applyFont="1" applyFill="1" applyBorder="1"/>
    <xf numFmtId="0" fontId="21" fillId="0" borderId="101" xfId="71" applyFont="1" applyFill="1" applyBorder="1"/>
    <xf numFmtId="0" fontId="21" fillId="0" borderId="126" xfId="0" applyFont="1" applyFill="1" applyBorder="1" applyAlignment="1">
      <alignment horizontal="center"/>
    </xf>
    <xf numFmtId="0" fontId="20" fillId="0" borderId="92" xfId="0" applyFont="1" applyFill="1" applyBorder="1"/>
    <xf numFmtId="0" fontId="20" fillId="0" borderId="28" xfId="0" applyFont="1" applyFill="1" applyBorder="1" applyAlignment="1">
      <alignment horizontal="center"/>
    </xf>
    <xf numFmtId="3" fontId="20" fillId="0" borderId="38" xfId="0" applyNumberFormat="1" applyFont="1" applyFill="1" applyBorder="1"/>
    <xf numFmtId="0" fontId="21" fillId="0" borderId="92" xfId="0" applyFont="1" applyFill="1" applyBorder="1"/>
    <xf numFmtId="3" fontId="21" fillId="0" borderId="30" xfId="0" applyNumberFormat="1" applyFont="1" applyFill="1" applyBorder="1" applyAlignment="1">
      <alignment horizontal="right"/>
    </xf>
    <xf numFmtId="3" fontId="66" fillId="30" borderId="29" xfId="0" applyNumberFormat="1" applyFont="1" applyFill="1" applyBorder="1"/>
    <xf numFmtId="0" fontId="20" fillId="0" borderId="22" xfId="0" applyFont="1" applyFill="1" applyBorder="1" applyAlignment="1">
      <alignment horizontal="center"/>
    </xf>
    <xf numFmtId="0" fontId="21" fillId="0" borderId="15" xfId="0" applyFont="1" applyFill="1" applyBorder="1"/>
    <xf numFmtId="0" fontId="21" fillId="0" borderId="15" xfId="0" applyFont="1" applyFill="1" applyBorder="1" applyAlignment="1">
      <alignment horizontal="center"/>
    </xf>
    <xf numFmtId="3" fontId="21" fillId="0" borderId="15" xfId="0" applyNumberFormat="1" applyFont="1" applyFill="1" applyBorder="1"/>
    <xf numFmtId="0" fontId="21" fillId="0" borderId="27" xfId="0" applyFont="1" applyFill="1" applyBorder="1" applyAlignment="1">
      <alignment horizontal="center"/>
    </xf>
    <xf numFmtId="3" fontId="21" fillId="0" borderId="83" xfId="0" applyNumberFormat="1" applyFont="1" applyFill="1" applyBorder="1"/>
    <xf numFmtId="0" fontId="20" fillId="0" borderId="15" xfId="0" applyFont="1" applyFill="1" applyBorder="1" applyAlignment="1">
      <alignment horizontal="center"/>
    </xf>
    <xf numFmtId="3" fontId="20" fillId="0" borderId="15" xfId="0" applyNumberFormat="1" applyFont="1" applyFill="1" applyBorder="1"/>
    <xf numFmtId="1" fontId="21" fillId="0" borderId="28" xfId="0" applyNumberFormat="1" applyFont="1" applyFill="1" applyBorder="1" applyAlignment="1">
      <alignment horizontal="center"/>
    </xf>
    <xf numFmtId="3" fontId="66" fillId="34" borderId="45" xfId="0" applyNumberFormat="1" applyFont="1" applyFill="1" applyBorder="1"/>
    <xf numFmtId="0" fontId="20" fillId="24" borderId="36" xfId="0" applyFont="1" applyFill="1" applyBorder="1"/>
    <xf numFmtId="0" fontId="21" fillId="24" borderId="31" xfId="0" applyFont="1" applyFill="1" applyBorder="1"/>
    <xf numFmtId="0" fontId="20" fillId="24" borderId="31" xfId="0" applyFont="1" applyFill="1" applyBorder="1"/>
    <xf numFmtId="0" fontId="21" fillId="24" borderId="126" xfId="0" applyFont="1" applyFill="1" applyBorder="1"/>
    <xf numFmtId="0" fontId="21" fillId="0" borderId="126" xfId="0" applyFont="1" applyFill="1" applyBorder="1"/>
    <xf numFmtId="0" fontId="21" fillId="0" borderId="129" xfId="0" applyFont="1" applyFill="1" applyBorder="1"/>
    <xf numFmtId="3" fontId="20" fillId="34" borderId="126" xfId="0" applyNumberFormat="1" applyFont="1" applyFill="1" applyBorder="1"/>
    <xf numFmtId="3" fontId="20" fillId="30" borderId="126" xfId="0" applyNumberFormat="1" applyFont="1" applyFill="1" applyBorder="1"/>
    <xf numFmtId="3" fontId="66" fillId="0" borderId="28" xfId="0" applyNumberFormat="1" applyFont="1" applyFill="1" applyBorder="1"/>
    <xf numFmtId="0" fontId="21" fillId="0" borderId="42" xfId="0" applyFont="1" applyFill="1" applyBorder="1"/>
    <xf numFmtId="3" fontId="76" fillId="30" borderId="30" xfId="0" applyNumberFormat="1" applyFont="1" applyFill="1" applyBorder="1"/>
    <xf numFmtId="3" fontId="66" fillId="34" borderId="33" xfId="0" applyNumberFormat="1" applyFont="1" applyFill="1" applyBorder="1"/>
    <xf numFmtId="3" fontId="21" fillId="30" borderId="112" xfId="0" applyNumberFormat="1" applyFont="1" applyFill="1" applyBorder="1"/>
    <xf numFmtId="3" fontId="66" fillId="30" borderId="26" xfId="0" applyNumberFormat="1" applyFont="1" applyFill="1" applyBorder="1"/>
    <xf numFmtId="0" fontId="20" fillId="0" borderId="24" xfId="0" applyFont="1" applyFill="1" applyBorder="1" applyAlignment="1">
      <alignment horizontal="center"/>
    </xf>
    <xf numFmtId="3" fontId="66" fillId="34" borderId="126" xfId="0" applyNumberFormat="1" applyFont="1" applyFill="1" applyBorder="1"/>
    <xf numFmtId="3" fontId="66" fillId="30" borderId="31" xfId="0" applyNumberFormat="1" applyFont="1" applyFill="1" applyBorder="1"/>
    <xf numFmtId="0" fontId="21" fillId="0" borderId="99" xfId="0" applyFont="1" applyFill="1" applyBorder="1"/>
    <xf numFmtId="3" fontId="20" fillId="0" borderId="86" xfId="0" applyNumberFormat="1" applyFont="1" applyFill="1" applyBorder="1"/>
    <xf numFmtId="3" fontId="66" fillId="34" borderId="28" xfId="0" applyNumberFormat="1" applyFont="1" applyFill="1" applyBorder="1"/>
    <xf numFmtId="3" fontId="66" fillId="34" borderId="27" xfId="0" applyNumberFormat="1" applyFont="1" applyFill="1" applyBorder="1"/>
    <xf numFmtId="0" fontId="21" fillId="0" borderId="101" xfId="0" applyFont="1" applyFill="1" applyBorder="1"/>
    <xf numFmtId="0" fontId="21" fillId="0" borderId="54" xfId="71" applyFont="1" applyFill="1" applyBorder="1"/>
    <xf numFmtId="0" fontId="20" fillId="0" borderId="101" xfId="0" applyFont="1" applyFill="1" applyBorder="1"/>
    <xf numFmtId="3" fontId="66" fillId="34" borderId="29" xfId="0" applyNumberFormat="1" applyFont="1" applyFill="1" applyBorder="1"/>
    <xf numFmtId="3" fontId="21" fillId="0" borderId="41" xfId="0" applyNumberFormat="1" applyFont="1" applyFill="1" applyBorder="1"/>
    <xf numFmtId="166" fontId="20" fillId="0" borderId="22" xfId="40" applyNumberFormat="1" applyFont="1" applyFill="1" applyBorder="1" applyAlignment="1" applyProtection="1">
      <alignment horizontal="center"/>
    </xf>
    <xf numFmtId="3" fontId="66" fillId="34" borderId="47" xfId="0" applyNumberFormat="1" applyFont="1" applyFill="1" applyBorder="1"/>
    <xf numFmtId="3" fontId="66" fillId="30" borderId="28" xfId="0" applyNumberFormat="1" applyFont="1" applyFill="1" applyBorder="1"/>
    <xf numFmtId="0" fontId="20" fillId="0" borderId="27" xfId="0" applyFont="1" applyFill="1" applyBorder="1"/>
    <xf numFmtId="0" fontId="20" fillId="0" borderId="27" xfId="0" applyFont="1" applyFill="1" applyBorder="1" applyAlignment="1">
      <alignment horizontal="center"/>
    </xf>
    <xf numFmtId="3" fontId="20" fillId="0" borderId="28" xfId="0" applyNumberFormat="1" applyFont="1" applyFill="1" applyBorder="1"/>
    <xf numFmtId="3" fontId="20" fillId="34" borderId="49" xfId="0" applyNumberFormat="1" applyFont="1" applyFill="1" applyBorder="1"/>
    <xf numFmtId="3" fontId="20" fillId="34" borderId="33" xfId="0" applyNumberFormat="1" applyFont="1" applyFill="1" applyBorder="1"/>
    <xf numFmtId="3" fontId="21" fillId="38" borderId="45" xfId="0" applyNumberFormat="1" applyFont="1" applyFill="1" applyBorder="1"/>
    <xf numFmtId="0" fontId="21" fillId="24" borderId="48" xfId="0" applyFont="1" applyFill="1" applyBorder="1"/>
    <xf numFmtId="3" fontId="21" fillId="35" borderId="45" xfId="0" applyNumberFormat="1" applyFont="1" applyFill="1" applyBorder="1"/>
    <xf numFmtId="3" fontId="21" fillId="34" borderId="111" xfId="0" applyNumberFormat="1" applyFont="1" applyFill="1" applyBorder="1"/>
    <xf numFmtId="3" fontId="21" fillId="31" borderId="48" xfId="0" applyNumberFormat="1" applyFont="1" applyFill="1" applyBorder="1"/>
    <xf numFmtId="3" fontId="66" fillId="30" borderId="127" xfId="0" applyNumberFormat="1" applyFont="1" applyFill="1" applyBorder="1"/>
  </cellXfs>
  <cellStyles count="125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76" xr:uid="{00000000-0005-0000-0000-000001000000}"/>
    <cellStyle name="20% - uthevingsfarge 2 2" xfId="77" xr:uid="{00000000-0005-0000-0000-000003000000}"/>
    <cellStyle name="20% - uthevingsfarge 3 2" xfId="78" xr:uid="{00000000-0005-0000-0000-000005000000}"/>
    <cellStyle name="20% - uthevingsfarge 4 2" xfId="79" xr:uid="{00000000-0005-0000-0000-000007000000}"/>
    <cellStyle name="20% - uthevingsfarge 5 2" xfId="80" xr:uid="{00000000-0005-0000-0000-000009000000}"/>
    <cellStyle name="20% - uthevingsfarge 6 2" xfId="81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82" xr:uid="{00000000-0005-0000-0000-00000D000000}"/>
    <cellStyle name="40% - uthevingsfarge 2 2" xfId="83" xr:uid="{00000000-0005-0000-0000-00000F000000}"/>
    <cellStyle name="40% - uthevingsfarge 3 2" xfId="84" xr:uid="{00000000-0005-0000-0000-000011000000}"/>
    <cellStyle name="40% - uthevingsfarge 4 2" xfId="85" xr:uid="{00000000-0005-0000-0000-000013000000}"/>
    <cellStyle name="40% - uthevingsfarge 5 2" xfId="86" xr:uid="{00000000-0005-0000-0000-000015000000}"/>
    <cellStyle name="40% - uthevingsfarge 6 2" xfId="87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60% - uthevingsfarge 1 2" xfId="88" xr:uid="{00000000-0005-0000-0000-000019000000}"/>
    <cellStyle name="60% - uthevingsfarge 2 2" xfId="89" xr:uid="{00000000-0005-0000-0000-00001B000000}"/>
    <cellStyle name="60% - uthevingsfarge 3 2" xfId="90" xr:uid="{00000000-0005-0000-0000-00001D000000}"/>
    <cellStyle name="60% - uthevingsfarge 4 2" xfId="91" xr:uid="{00000000-0005-0000-0000-00001F000000}"/>
    <cellStyle name="60% - uthevingsfarge 5 2" xfId="92" xr:uid="{00000000-0005-0000-0000-000021000000}"/>
    <cellStyle name="60% - uthevingsfarge 6 2" xfId="93" xr:uid="{00000000-0005-0000-0000-000023000000}"/>
    <cellStyle name="Beregning" xfId="19" builtinId="22" customBuiltin="1"/>
    <cellStyle name="Beregning 2" xfId="94" xr:uid="{00000000-0005-0000-0000-000025000000}"/>
    <cellStyle name="Dataveiviser-felt" xfId="20" xr:uid="{00000000-0005-0000-0000-000026000000}"/>
    <cellStyle name="Dataveiviser-felt 2" xfId="61" xr:uid="{00000000-0005-0000-0000-000027000000}"/>
    <cellStyle name="Dårlig" xfId="21" builtinId="27" customBuiltin="1"/>
    <cellStyle name="Dårlig 2" xfId="95" xr:uid="{00000000-0005-0000-0000-000029000000}"/>
    <cellStyle name="Forklarende tekst" xfId="22" builtinId="53" customBuiltin="1"/>
    <cellStyle name="Forklarende tekst 2" xfId="96" xr:uid="{00000000-0005-0000-0000-00002B000000}"/>
    <cellStyle name="God" xfId="23" builtinId="26" customBuiltin="1"/>
    <cellStyle name="God 2" xfId="97" xr:uid="{00000000-0005-0000-0000-00002D000000}"/>
    <cellStyle name="Hjørne i dataveiviseren" xfId="24" xr:uid="{00000000-0005-0000-0000-00002E000000}"/>
    <cellStyle name="Hjørne i dataveiviseren 2" xfId="62" xr:uid="{00000000-0005-0000-0000-00002F000000}"/>
    <cellStyle name="Inndata" xfId="25" builtinId="20" customBuiltin="1"/>
    <cellStyle name="Inndata 2" xfId="98" xr:uid="{00000000-0005-0000-0000-000031000000}"/>
    <cellStyle name="Kategori for dataveiviseren" xfId="26" xr:uid="{00000000-0005-0000-0000-000032000000}"/>
    <cellStyle name="Kategori for dataveiviseren 2" xfId="63" xr:uid="{00000000-0005-0000-0000-000033000000}"/>
    <cellStyle name="Koblet celle" xfId="27" builtinId="24" customBuiltin="1"/>
    <cellStyle name="Koblet celle 2" xfId="99" xr:uid="{00000000-0005-0000-0000-000035000000}"/>
    <cellStyle name="Komma" xfId="40" builtinId="3"/>
    <cellStyle name="Komma 2" xfId="51" xr:uid="{00000000-0005-0000-0000-000037000000}"/>
    <cellStyle name="Komma 2 2" xfId="70" xr:uid="{00000000-0005-0000-0000-000038000000}"/>
    <cellStyle name="Komma 2 2 2" xfId="122" xr:uid="{00000000-0005-0000-0000-000039000000}"/>
    <cellStyle name="Komma 2 3" xfId="119" xr:uid="{00000000-0005-0000-0000-00003A000000}"/>
    <cellStyle name="Komma 3" xfId="67" xr:uid="{00000000-0005-0000-0000-00003B000000}"/>
    <cellStyle name="Komma 4" xfId="109" xr:uid="{00000000-0005-0000-0000-00003C000000}"/>
    <cellStyle name="Kontrollcelle" xfId="28" builtinId="23" customBuiltin="1"/>
    <cellStyle name="Kontrollcelle 2" xfId="100" xr:uid="{00000000-0005-0000-0000-00003E000000}"/>
    <cellStyle name="Merknad" xfId="29" builtinId="10" customBuiltin="1"/>
    <cellStyle name="Merknad 2" xfId="64" xr:uid="{00000000-0005-0000-0000-000040000000}"/>
    <cellStyle name="Merknad 3" xfId="101" xr:uid="{00000000-0005-0000-0000-000041000000}"/>
    <cellStyle name="Normal" xfId="0" builtinId="0"/>
    <cellStyle name="Normal 10" xfId="72" xr:uid="{00000000-0005-0000-0000-000043000000}"/>
    <cellStyle name="Normal 10 2" xfId="124" xr:uid="{00000000-0005-0000-0000-000044000000}"/>
    <cellStyle name="Normal 11" xfId="73" xr:uid="{00000000-0005-0000-0000-000045000000}"/>
    <cellStyle name="Normal 12" xfId="75" xr:uid="{00000000-0005-0000-0000-000046000000}"/>
    <cellStyle name="Normal 13" xfId="74" xr:uid="{00000000-0005-0000-0000-000047000000}"/>
    <cellStyle name="Normal 2" xfId="50" xr:uid="{00000000-0005-0000-0000-000048000000}"/>
    <cellStyle name="Normal 2 2" xfId="53" xr:uid="{00000000-0005-0000-0000-000049000000}"/>
    <cellStyle name="Normal 2 2 2" xfId="71" xr:uid="{00000000-0005-0000-0000-00004A000000}"/>
    <cellStyle name="Normal 2 2 2 2" xfId="123" xr:uid="{00000000-0005-0000-0000-00004B000000}"/>
    <cellStyle name="Normal 2 2 3" xfId="120" xr:uid="{00000000-0005-0000-0000-00004C000000}"/>
    <cellStyle name="Normal 2 3" xfId="69" xr:uid="{00000000-0005-0000-0000-00004D000000}"/>
    <cellStyle name="Normal 2 3 2" xfId="121" xr:uid="{00000000-0005-0000-0000-00004E000000}"/>
    <cellStyle name="Normal 2 4" xfId="118" xr:uid="{00000000-0005-0000-0000-00004F000000}"/>
    <cellStyle name="Normal 2_D_H_O" xfId="54" xr:uid="{00000000-0005-0000-0000-000050000000}"/>
    <cellStyle name="Normal 3" xfId="52" xr:uid="{00000000-0005-0000-0000-000051000000}"/>
    <cellStyle name="Normal 4" xfId="55" xr:uid="{00000000-0005-0000-0000-000052000000}"/>
    <cellStyle name="Normal 5" xfId="56" xr:uid="{00000000-0005-0000-0000-000053000000}"/>
    <cellStyle name="Normal 6" xfId="57" xr:uid="{00000000-0005-0000-0000-000054000000}"/>
    <cellStyle name="Normal 7" xfId="58" xr:uid="{00000000-0005-0000-0000-000055000000}"/>
    <cellStyle name="Normal 8" xfId="59" xr:uid="{00000000-0005-0000-0000-000056000000}"/>
    <cellStyle name="Normal 9" xfId="60" xr:uid="{00000000-0005-0000-0000-000057000000}"/>
    <cellStyle name="Normal_D_Miljø" xfId="30" xr:uid="{00000000-0005-0000-0000-000058000000}"/>
    <cellStyle name="Nøytral" xfId="31" builtinId="28" customBuiltin="1"/>
    <cellStyle name="Nøytral 2" xfId="102" xr:uid="{00000000-0005-0000-0000-00005A000000}"/>
    <cellStyle name="Overskrift 1" xfId="32" builtinId="16" customBuiltin="1"/>
    <cellStyle name="Overskrift 1 2" xfId="103" xr:uid="{00000000-0005-0000-0000-00005C000000}"/>
    <cellStyle name="Overskrift 2" xfId="33" builtinId="17" customBuiltin="1"/>
    <cellStyle name="Overskrift 2 2" xfId="104" xr:uid="{00000000-0005-0000-0000-00005E000000}"/>
    <cellStyle name="Overskrift 3" xfId="34" builtinId="18" customBuiltin="1"/>
    <cellStyle name="Overskrift 3 2" xfId="105" xr:uid="{00000000-0005-0000-0000-000060000000}"/>
    <cellStyle name="Overskrift 4" xfId="35" builtinId="19" customBuiltin="1"/>
    <cellStyle name="Overskrift 4 2" xfId="106" xr:uid="{00000000-0005-0000-0000-000062000000}"/>
    <cellStyle name="Resultat for dataveiviseren" xfId="36" xr:uid="{00000000-0005-0000-0000-000063000000}"/>
    <cellStyle name="Resultat for dataveiviseren 2" xfId="65" xr:uid="{00000000-0005-0000-0000-000064000000}"/>
    <cellStyle name="Tittel" xfId="37" builtinId="15" customBuiltin="1"/>
    <cellStyle name="Tittel 2" xfId="107" xr:uid="{00000000-0005-0000-0000-000066000000}"/>
    <cellStyle name="Tittel på dataveiviseren" xfId="38" xr:uid="{00000000-0005-0000-0000-000067000000}"/>
    <cellStyle name="Tittel på dataveiviseren 2" xfId="66" xr:uid="{00000000-0005-0000-0000-000068000000}"/>
    <cellStyle name="Totalt" xfId="39" builtinId="25" customBuiltin="1"/>
    <cellStyle name="Totalt 2" xfId="108" xr:uid="{00000000-0005-0000-0000-00006A000000}"/>
    <cellStyle name="Utdata" xfId="41" builtinId="21" customBuiltin="1"/>
    <cellStyle name="Utdata 2" xfId="110" xr:uid="{00000000-0005-0000-0000-00006C000000}"/>
    <cellStyle name="Uthevingsfarge1" xfId="42" builtinId="29" customBuiltin="1"/>
    <cellStyle name="Uthevingsfarge1 2" xfId="111" xr:uid="{00000000-0005-0000-0000-00006E000000}"/>
    <cellStyle name="Uthevingsfarge2" xfId="43" builtinId="33" customBuiltin="1"/>
    <cellStyle name="Uthevingsfarge2 2" xfId="112" xr:uid="{00000000-0005-0000-0000-000070000000}"/>
    <cellStyle name="Uthevingsfarge3" xfId="44" builtinId="37" customBuiltin="1"/>
    <cellStyle name="Uthevingsfarge3 2" xfId="113" xr:uid="{00000000-0005-0000-0000-000072000000}"/>
    <cellStyle name="Uthevingsfarge4" xfId="45" builtinId="41" customBuiltin="1"/>
    <cellStyle name="Uthevingsfarge4 2" xfId="114" xr:uid="{00000000-0005-0000-0000-000074000000}"/>
    <cellStyle name="Uthevingsfarge5" xfId="46" builtinId="45" customBuiltin="1"/>
    <cellStyle name="Uthevingsfarge5 2" xfId="115" xr:uid="{00000000-0005-0000-0000-000076000000}"/>
    <cellStyle name="Uthevingsfarge6" xfId="47" builtinId="49" customBuiltin="1"/>
    <cellStyle name="Uthevingsfarge6 2" xfId="116" xr:uid="{00000000-0005-0000-0000-000078000000}"/>
    <cellStyle name="Varseltekst" xfId="48" builtinId="11" customBuiltin="1"/>
    <cellStyle name="Varseltekst 2" xfId="117" xr:uid="{00000000-0005-0000-0000-00007A000000}"/>
    <cellStyle name="Verdi for dataveiviseren" xfId="49" xr:uid="{00000000-0005-0000-0000-00007B000000}"/>
    <cellStyle name="Verdi for dataveiviseren 2" xfId="68" xr:uid="{00000000-0005-0000-0000-00007C000000}"/>
  </cellStyles>
  <dxfs count="0"/>
  <tableStyles count="0" defaultTableStyle="TableStyleMedium9" defaultPivotStyle="PivotStyleLight16"/>
  <colors>
    <mruColors>
      <color rgb="FFFFFFCC"/>
      <color rgb="FFCCFFCC"/>
      <color rgb="FFFF9999"/>
      <color rgb="FF00B0F0"/>
      <color rgb="FF00589A"/>
      <color rgb="FF0983E7"/>
      <color rgb="FF0000FF"/>
      <color rgb="FFFF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0"/>
  <sheetViews>
    <sheetView topLeftCell="A4" workbookViewId="0">
      <selection activeCell="A47" sqref="A47"/>
    </sheetView>
  </sheetViews>
  <sheetFormatPr baseColWidth="10" defaultColWidth="9.85546875" defaultRowHeight="12.75" x14ac:dyDescent="0.2"/>
  <cols>
    <col min="1" max="1" width="33.42578125" style="165" customWidth="1"/>
    <col min="2" max="2" width="16" style="163" customWidth="1"/>
    <col min="3" max="3" width="12.85546875" style="164" customWidth="1"/>
    <col min="4" max="4" width="11.140625" style="164" hidden="1" customWidth="1"/>
    <col min="5" max="7" width="11.7109375" style="164" customWidth="1"/>
    <col min="8" max="8" width="12.42578125" style="164" customWidth="1"/>
    <col min="9" max="16384" width="9.85546875" style="165"/>
  </cols>
  <sheetData>
    <row r="2" spans="1:7" ht="26.25" x14ac:dyDescent="0.4">
      <c r="A2" s="162" t="s">
        <v>92</v>
      </c>
    </row>
    <row r="4" spans="1:7" ht="15" x14ac:dyDescent="0.2">
      <c r="A4" s="166" t="s">
        <v>93</v>
      </c>
      <c r="B4" s="167"/>
      <c r="C4" s="168"/>
    </row>
    <row r="5" spans="1:7" ht="15" x14ac:dyDescent="0.2">
      <c r="A5" s="166"/>
      <c r="B5" s="167"/>
      <c r="C5" s="168"/>
    </row>
    <row r="6" spans="1:7" ht="15" x14ac:dyDescent="0.2">
      <c r="A6" s="167" t="s">
        <v>94</v>
      </c>
      <c r="C6" s="168"/>
    </row>
    <row r="7" spans="1:7" ht="15" x14ac:dyDescent="0.2">
      <c r="A7" s="167" t="s">
        <v>95</v>
      </c>
      <c r="C7" s="168"/>
    </row>
    <row r="8" spans="1:7" ht="15" x14ac:dyDescent="0.2">
      <c r="A8" s="167" t="s">
        <v>96</v>
      </c>
      <c r="C8" s="168"/>
    </row>
    <row r="9" spans="1:7" ht="15" x14ac:dyDescent="0.2">
      <c r="A9" s="167" t="s">
        <v>97</v>
      </c>
      <c r="C9" s="168"/>
    </row>
    <row r="10" spans="1:7" ht="15" x14ac:dyDescent="0.2">
      <c r="A10" s="167" t="s">
        <v>98</v>
      </c>
      <c r="C10" s="168"/>
    </row>
    <row r="11" spans="1:7" ht="15.75" x14ac:dyDescent="0.25">
      <c r="A11" s="169" t="s">
        <v>99</v>
      </c>
      <c r="C11" s="170"/>
      <c r="D11" s="171"/>
      <c r="E11" s="171"/>
      <c r="F11" s="171"/>
      <c r="G11" s="171"/>
    </row>
    <row r="12" spans="1:7" ht="15.75" x14ac:dyDescent="0.25">
      <c r="A12" s="169" t="s">
        <v>100</v>
      </c>
      <c r="C12" s="170"/>
      <c r="D12" s="171"/>
      <c r="E12" s="171"/>
      <c r="F12" s="171"/>
      <c r="G12" s="171"/>
    </row>
    <row r="13" spans="1:7" ht="15.75" x14ac:dyDescent="0.25">
      <c r="A13" s="169" t="s">
        <v>101</v>
      </c>
      <c r="C13" s="170"/>
      <c r="D13" s="171"/>
      <c r="E13" s="171"/>
      <c r="F13" s="171"/>
      <c r="G13" s="171"/>
    </row>
    <row r="14" spans="1:7" ht="15" x14ac:dyDescent="0.2">
      <c r="A14" s="172" t="s">
        <v>166</v>
      </c>
    </row>
    <row r="15" spans="1:7" ht="15" x14ac:dyDescent="0.2">
      <c r="B15" s="172"/>
    </row>
    <row r="16" spans="1:7" ht="15" x14ac:dyDescent="0.2">
      <c r="A16" s="166" t="s">
        <v>102</v>
      </c>
    </row>
    <row r="19" spans="1:8" x14ac:dyDescent="0.2">
      <c r="B19" s="165"/>
      <c r="C19" s="165"/>
      <c r="D19" s="165"/>
      <c r="E19" s="165"/>
      <c r="F19" s="173" t="s">
        <v>103</v>
      </c>
      <c r="G19" s="174"/>
    </row>
    <row r="20" spans="1:8" x14ac:dyDescent="0.2">
      <c r="B20" s="175" t="s">
        <v>104</v>
      </c>
      <c r="C20" s="174"/>
      <c r="D20" s="165"/>
      <c r="E20" s="165"/>
      <c r="F20" s="176" t="s">
        <v>105</v>
      </c>
      <c r="G20" s="177"/>
    </row>
    <row r="21" spans="1:8" x14ac:dyDescent="0.2">
      <c r="B21" s="178" t="s">
        <v>106</v>
      </c>
      <c r="C21" s="177"/>
      <c r="D21" s="165"/>
      <c r="E21" s="165"/>
      <c r="F21" s="176" t="s">
        <v>107</v>
      </c>
      <c r="G21" s="177"/>
    </row>
    <row r="22" spans="1:8" x14ac:dyDescent="0.2">
      <c r="B22" s="179" t="s">
        <v>108</v>
      </c>
      <c r="C22" s="180"/>
      <c r="D22" s="165"/>
      <c r="E22" s="165"/>
      <c r="F22" s="176" t="s">
        <v>109</v>
      </c>
      <c r="G22" s="177"/>
    </row>
    <row r="23" spans="1:8" x14ac:dyDescent="0.2">
      <c r="D23" s="165"/>
      <c r="E23" s="165"/>
      <c r="F23" s="176" t="s">
        <v>110</v>
      </c>
      <c r="G23" s="177"/>
    </row>
    <row r="24" spans="1:8" x14ac:dyDescent="0.2">
      <c r="D24" s="165"/>
      <c r="E24" s="165"/>
      <c r="F24" s="181" t="s">
        <v>111</v>
      </c>
      <c r="G24" s="180"/>
    </row>
    <row r="26" spans="1:8" ht="15" x14ac:dyDescent="0.2">
      <c r="H26" s="182"/>
    </row>
    <row r="27" spans="1:8" ht="26.25" thickBot="1" x14ac:dyDescent="0.4">
      <c r="A27" s="183" t="s">
        <v>112</v>
      </c>
      <c r="B27" s="184"/>
      <c r="C27" s="185"/>
      <c r="D27" s="185"/>
      <c r="E27" s="185"/>
      <c r="F27" s="185"/>
      <c r="G27" s="186"/>
      <c r="H27" s="187" t="s">
        <v>7</v>
      </c>
    </row>
    <row r="28" spans="1:8" ht="18.75" thickTop="1" x14ac:dyDescent="0.25">
      <c r="A28" s="188"/>
      <c r="B28" s="189"/>
      <c r="C28" s="190"/>
      <c r="D28" s="190"/>
      <c r="E28" s="190"/>
      <c r="F28" s="190"/>
      <c r="G28" s="190"/>
      <c r="H28" s="190"/>
    </row>
    <row r="29" spans="1:8" ht="22.5" x14ac:dyDescent="0.3">
      <c r="A29" s="191"/>
      <c r="B29" s="192"/>
      <c r="C29" s="193" t="s">
        <v>40</v>
      </c>
      <c r="D29" s="193" t="s">
        <v>8</v>
      </c>
      <c r="E29" s="194"/>
      <c r="F29" s="195" t="s">
        <v>9</v>
      </c>
      <c r="G29" s="196"/>
      <c r="H29" s="197"/>
    </row>
    <row r="30" spans="1:8" ht="18.75" x14ac:dyDescent="0.3">
      <c r="A30" s="198"/>
      <c r="B30" s="199"/>
      <c r="C30" s="200" t="s">
        <v>41</v>
      </c>
      <c r="D30" s="200" t="s">
        <v>11</v>
      </c>
      <c r="E30" s="201" t="s">
        <v>12</v>
      </c>
      <c r="F30" s="202"/>
      <c r="G30" s="203"/>
      <c r="H30" s="204"/>
    </row>
    <row r="31" spans="1:8" ht="20.25" x14ac:dyDescent="0.3">
      <c r="A31" s="205" t="s">
        <v>13</v>
      </c>
      <c r="B31" s="206" t="s">
        <v>14</v>
      </c>
      <c r="C31" s="207">
        <v>2007</v>
      </c>
      <c r="D31" s="208">
        <v>2004</v>
      </c>
      <c r="E31" s="209">
        <v>2008</v>
      </c>
      <c r="F31" s="210">
        <v>2009</v>
      </c>
      <c r="G31" s="211">
        <v>2010</v>
      </c>
      <c r="H31" s="211">
        <v>2011</v>
      </c>
    </row>
    <row r="32" spans="1:8" ht="15.75" x14ac:dyDescent="0.25">
      <c r="A32" s="212" t="s">
        <v>42</v>
      </c>
      <c r="B32" s="213"/>
      <c r="C32" s="214">
        <v>35621</v>
      </c>
      <c r="D32" s="215"/>
      <c r="E32" s="216">
        <v>38422</v>
      </c>
      <c r="F32" s="217">
        <v>38422</v>
      </c>
      <c r="G32" s="218">
        <v>38422</v>
      </c>
      <c r="H32" s="218">
        <v>38422</v>
      </c>
    </row>
    <row r="33" spans="1:8" ht="15.75" x14ac:dyDescent="0.25">
      <c r="A33" s="212" t="s">
        <v>113</v>
      </c>
      <c r="B33" s="213"/>
      <c r="C33" s="219">
        <v>-1737</v>
      </c>
      <c r="D33" s="220"/>
      <c r="E33" s="221">
        <v>-2145</v>
      </c>
      <c r="F33" s="222">
        <v>-2145</v>
      </c>
      <c r="G33" s="223">
        <v>-2145</v>
      </c>
      <c r="H33" s="223">
        <v>-2145</v>
      </c>
    </row>
    <row r="34" spans="1:8" ht="15.75" x14ac:dyDescent="0.25">
      <c r="A34" s="212"/>
      <c r="B34" s="213"/>
      <c r="C34" s="219"/>
      <c r="D34" s="220"/>
      <c r="E34" s="221"/>
      <c r="F34" s="222"/>
      <c r="G34" s="218"/>
      <c r="H34" s="218"/>
    </row>
    <row r="35" spans="1:8" ht="15.75" x14ac:dyDescent="0.25">
      <c r="A35" s="212" t="s">
        <v>43</v>
      </c>
      <c r="B35" s="213"/>
      <c r="C35" s="219"/>
      <c r="D35" s="220"/>
      <c r="E35" s="221"/>
      <c r="F35" s="222"/>
      <c r="G35" s="218"/>
      <c r="H35" s="218"/>
    </row>
    <row r="36" spans="1:8" ht="15.75" x14ac:dyDescent="0.25">
      <c r="A36" s="224" t="s">
        <v>114</v>
      </c>
      <c r="B36" s="225">
        <v>1110</v>
      </c>
      <c r="C36" s="219">
        <v>400</v>
      </c>
      <c r="D36" s="220"/>
      <c r="E36" s="221">
        <v>250</v>
      </c>
      <c r="F36" s="222">
        <v>250</v>
      </c>
      <c r="G36" s="223">
        <v>250</v>
      </c>
      <c r="H36" s="223">
        <v>250</v>
      </c>
    </row>
    <row r="37" spans="1:8" ht="15.75" x14ac:dyDescent="0.25">
      <c r="A37" s="224" t="s">
        <v>115</v>
      </c>
      <c r="B37" s="225">
        <v>1076</v>
      </c>
      <c r="C37" s="226">
        <v>120</v>
      </c>
      <c r="D37" s="220"/>
      <c r="E37" s="221">
        <v>30</v>
      </c>
      <c r="F37" s="222">
        <v>30</v>
      </c>
      <c r="G37" s="223">
        <v>30</v>
      </c>
      <c r="H37" s="223">
        <v>30</v>
      </c>
    </row>
    <row r="38" spans="1:8" ht="15.75" x14ac:dyDescent="0.25">
      <c r="A38" s="212" t="s">
        <v>51</v>
      </c>
      <c r="B38" s="213"/>
      <c r="C38" s="227">
        <v>2393</v>
      </c>
      <c r="D38" s="220"/>
      <c r="E38" s="221"/>
      <c r="F38" s="222"/>
      <c r="G38" s="218"/>
      <c r="H38" s="218"/>
    </row>
    <row r="39" spans="1:8" ht="15.75" x14ac:dyDescent="0.25">
      <c r="A39" s="212"/>
      <c r="B39" s="213"/>
      <c r="C39" s="228"/>
      <c r="D39" s="220"/>
      <c r="E39" s="221"/>
      <c r="F39" s="222"/>
      <c r="G39" s="218"/>
      <c r="H39" s="218"/>
    </row>
    <row r="40" spans="1:8" ht="15.75" x14ac:dyDescent="0.25">
      <c r="A40" s="212" t="s">
        <v>116</v>
      </c>
      <c r="B40" s="213"/>
      <c r="C40" s="219"/>
      <c r="D40" s="220"/>
      <c r="E40" s="221"/>
      <c r="F40" s="222"/>
      <c r="G40" s="218"/>
      <c r="H40" s="218"/>
    </row>
    <row r="41" spans="1:8" ht="15.75" x14ac:dyDescent="0.25">
      <c r="A41" s="224" t="s">
        <v>199</v>
      </c>
      <c r="B41" s="225">
        <v>1031</v>
      </c>
      <c r="C41" s="219"/>
      <c r="D41" s="220"/>
      <c r="E41" s="221"/>
      <c r="F41" s="222">
        <v>500</v>
      </c>
      <c r="G41" s="223"/>
      <c r="H41" s="223"/>
    </row>
    <row r="42" spans="1:8" ht="15.75" x14ac:dyDescent="0.25">
      <c r="A42" s="224" t="s">
        <v>117</v>
      </c>
      <c r="B42" s="225">
        <v>1031</v>
      </c>
      <c r="C42" s="219"/>
      <c r="D42" s="220"/>
      <c r="E42" s="221"/>
      <c r="F42" s="222"/>
      <c r="G42" s="223"/>
      <c r="H42" s="223">
        <v>800</v>
      </c>
    </row>
    <row r="43" spans="1:8" ht="15.75" x14ac:dyDescent="0.25">
      <c r="A43" s="229"/>
      <c r="B43" s="230"/>
      <c r="C43" s="219"/>
      <c r="D43" s="220"/>
      <c r="E43" s="221"/>
      <c r="F43" s="222"/>
      <c r="G43" s="222"/>
      <c r="H43" s="222"/>
    </row>
    <row r="44" spans="1:8" ht="15.75" x14ac:dyDescent="0.25">
      <c r="A44" s="231"/>
      <c r="B44" s="230"/>
      <c r="C44" s="219"/>
      <c r="D44" s="220"/>
      <c r="E44" s="221"/>
      <c r="F44" s="222"/>
      <c r="G44" s="222"/>
      <c r="H44" s="222"/>
    </row>
    <row r="45" spans="1:8" ht="15.75" x14ac:dyDescent="0.25">
      <c r="A45" s="229"/>
      <c r="B45" s="230"/>
      <c r="C45" s="219"/>
      <c r="D45" s="220"/>
      <c r="E45" s="221"/>
      <c r="F45" s="222"/>
      <c r="G45" s="222"/>
      <c r="H45" s="222"/>
    </row>
    <row r="46" spans="1:8" ht="15.75" x14ac:dyDescent="0.25">
      <c r="A46" s="231"/>
      <c r="B46" s="230"/>
      <c r="C46" s="219"/>
      <c r="D46" s="220"/>
      <c r="E46" s="221"/>
      <c r="F46" s="222"/>
      <c r="G46" s="222"/>
      <c r="H46" s="222"/>
    </row>
    <row r="47" spans="1:8" ht="16.5" thickBot="1" x14ac:dyDescent="0.3">
      <c r="A47" s="231"/>
      <c r="B47" s="230"/>
      <c r="C47" s="219"/>
      <c r="D47" s="220"/>
      <c r="E47" s="221"/>
      <c r="F47" s="222"/>
      <c r="G47" s="222"/>
      <c r="H47" s="222"/>
    </row>
    <row r="48" spans="1:8" ht="16.5" thickBot="1" x14ac:dyDescent="0.3">
      <c r="A48" s="232" t="s">
        <v>48</v>
      </c>
      <c r="B48" s="233"/>
      <c r="C48" s="234">
        <v>38422</v>
      </c>
      <c r="D48" s="235"/>
      <c r="E48" s="236">
        <v>39247</v>
      </c>
      <c r="F48" s="237">
        <v>39337</v>
      </c>
      <c r="G48" s="238">
        <v>38487</v>
      </c>
      <c r="H48" s="238">
        <v>39287</v>
      </c>
    </row>
    <row r="52" spans="3:8" x14ac:dyDescent="0.2">
      <c r="C52" s="173" t="s">
        <v>118</v>
      </c>
      <c r="D52" s="174"/>
      <c r="E52" s="174"/>
      <c r="G52" s="173" t="s">
        <v>119</v>
      </c>
      <c r="H52" s="174"/>
    </row>
    <row r="53" spans="3:8" x14ac:dyDescent="0.2">
      <c r="C53" s="176" t="s">
        <v>120</v>
      </c>
      <c r="D53" s="177"/>
      <c r="E53" s="177"/>
      <c r="G53" s="176" t="s">
        <v>121</v>
      </c>
      <c r="H53" s="177"/>
    </row>
    <row r="54" spans="3:8" x14ac:dyDescent="0.2">
      <c r="C54" s="176" t="s">
        <v>122</v>
      </c>
      <c r="D54" s="177"/>
      <c r="E54" s="177"/>
      <c r="G54" s="176" t="s">
        <v>123</v>
      </c>
      <c r="H54" s="177"/>
    </row>
    <row r="55" spans="3:8" x14ac:dyDescent="0.2">
      <c r="C55" s="176" t="s">
        <v>124</v>
      </c>
      <c r="D55" s="177"/>
      <c r="E55" s="177"/>
      <c r="G55" s="176" t="s">
        <v>125</v>
      </c>
      <c r="H55" s="177"/>
    </row>
    <row r="56" spans="3:8" x14ac:dyDescent="0.2">
      <c r="C56" s="181" t="s">
        <v>126</v>
      </c>
      <c r="D56" s="180"/>
      <c r="E56" s="180"/>
      <c r="G56" s="176" t="s">
        <v>127</v>
      </c>
      <c r="H56" s="177"/>
    </row>
    <row r="57" spans="3:8" x14ac:dyDescent="0.2">
      <c r="G57" s="176" t="s">
        <v>128</v>
      </c>
      <c r="H57" s="177"/>
    </row>
    <row r="58" spans="3:8" x14ac:dyDescent="0.2">
      <c r="G58" s="176" t="s">
        <v>129</v>
      </c>
      <c r="H58" s="177"/>
    </row>
    <row r="59" spans="3:8" x14ac:dyDescent="0.2">
      <c r="G59" s="176" t="s">
        <v>130</v>
      </c>
      <c r="H59" s="177"/>
    </row>
    <row r="60" spans="3:8" x14ac:dyDescent="0.2">
      <c r="G60" s="181" t="s">
        <v>131</v>
      </c>
      <c r="H60" s="18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8"/>
  <sheetViews>
    <sheetView topLeftCell="A8" zoomScaleNormal="100" workbookViewId="0">
      <selection activeCell="D22" sqref="D22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72" customWidth="1"/>
    <col min="3" max="3" width="11.140625" style="3" customWidth="1"/>
    <col min="4" max="7" width="11.7109375" style="3" customWidth="1"/>
    <col min="8" max="16384" width="9.85546875" style="1"/>
  </cols>
  <sheetData>
    <row r="1" spans="1:8" ht="15" x14ac:dyDescent="0.2">
      <c r="G1" s="5"/>
    </row>
    <row r="2" spans="1:8" ht="25.5" x14ac:dyDescent="0.35">
      <c r="A2" s="119" t="s">
        <v>37</v>
      </c>
      <c r="B2" s="74"/>
      <c r="C2" s="7"/>
      <c r="D2" s="7"/>
      <c r="E2" s="7"/>
      <c r="F2" s="8"/>
      <c r="G2" s="9" t="s">
        <v>7</v>
      </c>
    </row>
    <row r="3" spans="1:8" ht="18" x14ac:dyDescent="0.25">
      <c r="A3" s="10"/>
      <c r="B3" s="75"/>
      <c r="C3" s="12"/>
      <c r="D3" s="12"/>
      <c r="E3" s="12"/>
      <c r="F3" s="12"/>
      <c r="G3" s="12"/>
    </row>
    <row r="4" spans="1:8" ht="22.5" x14ac:dyDescent="0.3">
      <c r="A4" s="13"/>
      <c r="B4" s="76"/>
      <c r="C4" s="120" t="s">
        <v>8</v>
      </c>
      <c r="D4" s="121"/>
      <c r="E4" s="17" t="s">
        <v>9</v>
      </c>
      <c r="F4" s="18"/>
      <c r="G4" s="19"/>
    </row>
    <row r="5" spans="1:8" ht="18.75" x14ac:dyDescent="0.3">
      <c r="A5" s="20"/>
      <c r="B5" s="21"/>
      <c r="C5" s="122" t="s">
        <v>11</v>
      </c>
      <c r="D5" s="123" t="s">
        <v>12</v>
      </c>
      <c r="E5" s="24"/>
      <c r="F5" s="25"/>
      <c r="G5" s="26"/>
    </row>
    <row r="6" spans="1:8" ht="20.25" x14ac:dyDescent="0.3">
      <c r="A6" s="27" t="s">
        <v>56</v>
      </c>
      <c r="B6" s="28" t="s">
        <v>57</v>
      </c>
      <c r="C6" s="79">
        <v>2019</v>
      </c>
      <c r="D6" s="417">
        <v>2020</v>
      </c>
      <c r="E6" s="31">
        <v>2021</v>
      </c>
      <c r="F6" s="32">
        <v>2022</v>
      </c>
      <c r="G6" s="32">
        <v>2023</v>
      </c>
    </row>
    <row r="7" spans="1:8" ht="15.75" x14ac:dyDescent="0.25">
      <c r="A7" s="289" t="s">
        <v>372</v>
      </c>
      <c r="B7" s="38">
        <v>111005</v>
      </c>
      <c r="C7" s="89">
        <v>400</v>
      </c>
      <c r="D7" s="469">
        <f>400+300</f>
        <v>700</v>
      </c>
      <c r="E7" s="437">
        <f>400+300</f>
        <v>700</v>
      </c>
      <c r="F7" s="437">
        <f t="shared" ref="F7:G7" si="0">400+300</f>
        <v>700</v>
      </c>
      <c r="G7" s="437">
        <f t="shared" si="0"/>
        <v>700</v>
      </c>
    </row>
    <row r="8" spans="1:8" ht="15.75" x14ac:dyDescent="0.25">
      <c r="A8" s="289" t="s">
        <v>142</v>
      </c>
      <c r="B8" s="38">
        <v>111020</v>
      </c>
      <c r="C8" s="89">
        <v>800</v>
      </c>
      <c r="D8" s="305">
        <v>200</v>
      </c>
      <c r="E8" s="267">
        <v>200</v>
      </c>
      <c r="F8" s="267">
        <v>200</v>
      </c>
      <c r="G8" s="437">
        <v>200</v>
      </c>
      <c r="H8" s="286"/>
    </row>
    <row r="9" spans="1:8" ht="15.75" x14ac:dyDescent="0.25">
      <c r="A9" s="289" t="s">
        <v>178</v>
      </c>
      <c r="B9" s="38">
        <v>111018</v>
      </c>
      <c r="C9" s="89">
        <v>700</v>
      </c>
      <c r="D9" s="305">
        <v>200</v>
      </c>
      <c r="E9" s="267">
        <v>200</v>
      </c>
      <c r="F9" s="267">
        <v>200</v>
      </c>
      <c r="G9" s="437">
        <v>200</v>
      </c>
      <c r="H9" s="286"/>
    </row>
    <row r="10" spans="1:8" ht="15.75" x14ac:dyDescent="0.25">
      <c r="A10" s="289" t="s">
        <v>71</v>
      </c>
      <c r="B10" s="38">
        <v>111009</v>
      </c>
      <c r="C10" s="89">
        <v>250</v>
      </c>
      <c r="D10" s="305">
        <v>1000</v>
      </c>
      <c r="E10" s="267">
        <v>250</v>
      </c>
      <c r="F10" s="267">
        <v>250</v>
      </c>
      <c r="G10" s="437">
        <v>250</v>
      </c>
      <c r="H10" s="286"/>
    </row>
    <row r="11" spans="1:8" ht="15.75" x14ac:dyDescent="0.25">
      <c r="A11" s="289" t="s">
        <v>143</v>
      </c>
      <c r="B11" s="38">
        <v>111030</v>
      </c>
      <c r="C11" s="89">
        <v>250</v>
      </c>
      <c r="D11" s="305">
        <v>250</v>
      </c>
      <c r="E11" s="267">
        <v>250</v>
      </c>
      <c r="F11" s="267">
        <v>250</v>
      </c>
      <c r="G11" s="437">
        <v>250</v>
      </c>
      <c r="H11" s="286"/>
    </row>
    <row r="12" spans="1:8" ht="15.75" x14ac:dyDescent="0.25">
      <c r="A12" s="289" t="s">
        <v>86</v>
      </c>
      <c r="B12" s="38">
        <v>111041</v>
      </c>
      <c r="C12" s="89">
        <v>300</v>
      </c>
      <c r="D12" s="305">
        <v>900</v>
      </c>
      <c r="E12" s="267">
        <v>900</v>
      </c>
      <c r="F12" s="267">
        <v>900</v>
      </c>
      <c r="G12" s="437">
        <v>900</v>
      </c>
      <c r="H12" s="286"/>
    </row>
    <row r="13" spans="1:8" ht="15.75" x14ac:dyDescent="0.25">
      <c r="A13" s="289" t="s">
        <v>72</v>
      </c>
      <c r="B13" s="38">
        <v>1117</v>
      </c>
      <c r="C13" s="89">
        <v>150</v>
      </c>
      <c r="D13" s="305">
        <v>150</v>
      </c>
      <c r="E13" s="267">
        <v>150</v>
      </c>
      <c r="F13" s="267">
        <v>150</v>
      </c>
      <c r="G13" s="437">
        <v>150</v>
      </c>
      <c r="H13" s="286"/>
    </row>
    <row r="14" spans="1:8" ht="15.75" x14ac:dyDescent="0.25">
      <c r="A14" s="289" t="s">
        <v>73</v>
      </c>
      <c r="B14" s="38">
        <v>111038</v>
      </c>
      <c r="C14" s="89">
        <v>100</v>
      </c>
      <c r="D14" s="305">
        <v>100</v>
      </c>
      <c r="E14" s="267">
        <v>100</v>
      </c>
      <c r="F14" s="267">
        <v>100</v>
      </c>
      <c r="G14" s="437">
        <v>100</v>
      </c>
      <c r="H14" s="286"/>
    </row>
    <row r="15" spans="1:8" ht="15.75" x14ac:dyDescent="0.25">
      <c r="A15" s="289" t="s">
        <v>180</v>
      </c>
      <c r="B15" s="38">
        <v>111002</v>
      </c>
      <c r="C15" s="89">
        <v>100</v>
      </c>
      <c r="D15" s="305">
        <v>100</v>
      </c>
      <c r="E15" s="267">
        <v>100</v>
      </c>
      <c r="F15" s="267">
        <v>100</v>
      </c>
      <c r="G15" s="437">
        <v>100</v>
      </c>
      <c r="H15" s="286"/>
    </row>
    <row r="16" spans="1:8" ht="15.75" x14ac:dyDescent="0.25">
      <c r="A16" s="90" t="s">
        <v>144</v>
      </c>
      <c r="B16" s="38">
        <v>111020</v>
      </c>
      <c r="C16" s="89">
        <v>1250</v>
      </c>
      <c r="D16" s="305">
        <v>1250</v>
      </c>
      <c r="E16" s="267">
        <v>1250</v>
      </c>
      <c r="F16" s="267">
        <v>1250</v>
      </c>
      <c r="G16" s="437">
        <v>1250</v>
      </c>
      <c r="H16" s="286"/>
    </row>
    <row r="17" spans="1:8" ht="15.75" x14ac:dyDescent="0.25">
      <c r="A17" s="90" t="s">
        <v>90</v>
      </c>
      <c r="B17" s="38">
        <v>111021</v>
      </c>
      <c r="C17" s="89">
        <v>200</v>
      </c>
      <c r="D17" s="305">
        <v>200</v>
      </c>
      <c r="E17" s="267">
        <v>200</v>
      </c>
      <c r="F17" s="267">
        <v>200</v>
      </c>
      <c r="G17" s="437">
        <v>200</v>
      </c>
      <c r="H17" s="286"/>
    </row>
    <row r="18" spans="1:8" ht="15.75" x14ac:dyDescent="0.25">
      <c r="A18" s="90" t="s">
        <v>89</v>
      </c>
      <c r="B18" s="38">
        <v>111022</v>
      </c>
      <c r="C18" s="89">
        <v>200</v>
      </c>
      <c r="D18" s="305">
        <v>200</v>
      </c>
      <c r="E18" s="267">
        <v>200</v>
      </c>
      <c r="F18" s="267">
        <v>200</v>
      </c>
      <c r="G18" s="437">
        <v>200</v>
      </c>
      <c r="H18" s="286"/>
    </row>
    <row r="19" spans="1:8" ht="15.75" x14ac:dyDescent="0.25">
      <c r="A19" s="90" t="s">
        <v>163</v>
      </c>
      <c r="B19" s="38">
        <v>111027</v>
      </c>
      <c r="C19" s="89">
        <v>150</v>
      </c>
      <c r="D19" s="305"/>
      <c r="E19" s="267"/>
      <c r="F19" s="267"/>
      <c r="G19" s="267"/>
    </row>
    <row r="20" spans="1:8" ht="15.75" x14ac:dyDescent="0.25">
      <c r="A20" s="90" t="s">
        <v>373</v>
      </c>
      <c r="B20" s="38">
        <v>111040</v>
      </c>
      <c r="C20" s="89">
        <v>150</v>
      </c>
      <c r="D20" s="469">
        <f>150-75</f>
        <v>75</v>
      </c>
      <c r="E20" s="437">
        <f>150-75</f>
        <v>75</v>
      </c>
      <c r="F20" s="437">
        <f>150-75</f>
        <v>75</v>
      </c>
      <c r="G20" s="437">
        <f>150-75</f>
        <v>75</v>
      </c>
    </row>
    <row r="21" spans="1:8" ht="15.75" x14ac:dyDescent="0.25">
      <c r="A21" s="90" t="s">
        <v>1</v>
      </c>
      <c r="B21" s="38">
        <v>1122</v>
      </c>
      <c r="C21" s="89"/>
      <c r="D21" s="305"/>
      <c r="E21" s="267"/>
      <c r="F21" s="267"/>
      <c r="G21" s="267"/>
    </row>
    <row r="22" spans="1:8" ht="15.75" x14ac:dyDescent="0.25">
      <c r="A22" s="90" t="s">
        <v>2</v>
      </c>
      <c r="B22" s="38">
        <v>1120</v>
      </c>
      <c r="C22" s="89">
        <v>3500</v>
      </c>
      <c r="D22" s="305">
        <v>3500</v>
      </c>
      <c r="E22" s="267">
        <v>3500</v>
      </c>
      <c r="F22" s="267">
        <v>3500</v>
      </c>
      <c r="G22" s="437">
        <v>3500</v>
      </c>
    </row>
    <row r="23" spans="1:8" ht="15.75" x14ac:dyDescent="0.25">
      <c r="A23" s="90" t="s">
        <v>170</v>
      </c>
      <c r="B23" s="38">
        <v>111008</v>
      </c>
      <c r="C23" s="89">
        <v>250</v>
      </c>
      <c r="D23" s="305">
        <v>250</v>
      </c>
      <c r="E23" s="267">
        <v>250</v>
      </c>
      <c r="F23" s="267">
        <v>250</v>
      </c>
      <c r="G23" s="437">
        <v>250</v>
      </c>
    </row>
    <row r="24" spans="1:8" ht="15.75" x14ac:dyDescent="0.25">
      <c r="A24" s="90" t="s">
        <v>424</v>
      </c>
      <c r="B24" s="38">
        <v>111012</v>
      </c>
      <c r="C24" s="89">
        <v>250</v>
      </c>
      <c r="D24" s="469">
        <f>250+250</f>
        <v>500</v>
      </c>
      <c r="E24" s="437">
        <f>250+250</f>
        <v>500</v>
      </c>
      <c r="F24" s="437">
        <f t="shared" ref="F24:G24" si="1">250+250</f>
        <v>500</v>
      </c>
      <c r="G24" s="437">
        <f t="shared" si="1"/>
        <v>500</v>
      </c>
    </row>
    <row r="25" spans="1:8" ht="15.75" x14ac:dyDescent="0.25">
      <c r="A25" s="90" t="s">
        <v>179</v>
      </c>
      <c r="B25" s="38">
        <v>111034</v>
      </c>
      <c r="C25" s="89">
        <v>150</v>
      </c>
      <c r="D25" s="305"/>
      <c r="E25" s="267"/>
      <c r="F25" s="267"/>
      <c r="G25" s="267"/>
    </row>
    <row r="26" spans="1:8" ht="15.75" x14ac:dyDescent="0.25">
      <c r="A26" s="90" t="s">
        <v>374</v>
      </c>
      <c r="B26" s="38">
        <v>111035</v>
      </c>
      <c r="C26" s="89">
        <v>2500</v>
      </c>
      <c r="D26" s="485">
        <f>2500+150</f>
        <v>2650</v>
      </c>
      <c r="E26" s="486">
        <f>2500+1000</f>
        <v>3500</v>
      </c>
      <c r="F26" s="437">
        <f>2500+1000</f>
        <v>3500</v>
      </c>
      <c r="G26" s="437">
        <f>2500+1000</f>
        <v>3500</v>
      </c>
    </row>
    <row r="27" spans="1:8" s="421" customFormat="1" ht="15.75" x14ac:dyDescent="0.25">
      <c r="A27" s="90" t="s">
        <v>368</v>
      </c>
      <c r="B27" s="38">
        <v>111008</v>
      </c>
      <c r="C27" s="89">
        <v>250</v>
      </c>
      <c r="D27" s="371">
        <v>250</v>
      </c>
      <c r="E27" s="335">
        <v>250</v>
      </c>
      <c r="F27" s="267">
        <v>250</v>
      </c>
      <c r="G27" s="437">
        <v>250</v>
      </c>
    </row>
    <row r="28" spans="1:8" s="421" customFormat="1" ht="15.75" x14ac:dyDescent="0.25">
      <c r="A28" s="90" t="s">
        <v>369</v>
      </c>
      <c r="B28" s="38">
        <v>111046</v>
      </c>
      <c r="C28" s="89">
        <v>300</v>
      </c>
      <c r="D28" s="371"/>
      <c r="E28" s="335"/>
      <c r="F28" s="267"/>
      <c r="G28" s="267"/>
    </row>
    <row r="29" spans="1:8" s="421" customFormat="1" ht="15.75" x14ac:dyDescent="0.25">
      <c r="A29" s="90" t="s">
        <v>370</v>
      </c>
      <c r="B29" s="38">
        <v>111020</v>
      </c>
      <c r="C29" s="89">
        <v>400</v>
      </c>
      <c r="D29" s="371">
        <v>400</v>
      </c>
      <c r="E29" s="335">
        <v>400</v>
      </c>
      <c r="F29" s="267">
        <v>400</v>
      </c>
      <c r="G29" s="437">
        <v>400</v>
      </c>
    </row>
    <row r="30" spans="1:8" s="421" customFormat="1" ht="15.75" x14ac:dyDescent="0.25">
      <c r="A30" s="289" t="s">
        <v>371</v>
      </c>
      <c r="B30" s="38">
        <v>111045</v>
      </c>
      <c r="C30" s="89">
        <v>400</v>
      </c>
      <c r="D30" s="371"/>
      <c r="E30" s="335"/>
      <c r="F30" s="267"/>
      <c r="G30" s="267"/>
    </row>
    <row r="31" spans="1:8" ht="15.75" x14ac:dyDescent="0.25">
      <c r="A31" s="289"/>
      <c r="B31" s="38"/>
      <c r="C31" s="89"/>
      <c r="D31" s="371"/>
      <c r="E31" s="335"/>
      <c r="F31" s="267"/>
      <c r="G31" s="267"/>
    </row>
    <row r="32" spans="1:8" ht="15.75" x14ac:dyDescent="0.25">
      <c r="A32" s="289"/>
      <c r="B32" s="38"/>
      <c r="C32" s="89"/>
      <c r="D32" s="371"/>
      <c r="E32" s="335"/>
      <c r="F32" s="267"/>
      <c r="G32" s="267"/>
    </row>
    <row r="33" spans="1:7" ht="15.75" x14ac:dyDescent="0.25">
      <c r="A33" s="289"/>
      <c r="B33" s="38"/>
      <c r="C33" s="89"/>
      <c r="D33" s="371"/>
      <c r="E33" s="335"/>
      <c r="F33" s="267"/>
      <c r="G33" s="267"/>
    </row>
    <row r="34" spans="1:7" ht="15.75" x14ac:dyDescent="0.25">
      <c r="A34" s="289"/>
      <c r="B34" s="38"/>
      <c r="C34" s="89"/>
      <c r="D34" s="371"/>
      <c r="E34" s="335"/>
      <c r="F34" s="267"/>
      <c r="G34" s="267"/>
    </row>
    <row r="35" spans="1:7" ht="15.75" x14ac:dyDescent="0.25">
      <c r="A35" s="289"/>
      <c r="B35" s="38"/>
      <c r="C35" s="89"/>
      <c r="D35" s="371"/>
      <c r="E35" s="335"/>
      <c r="F35" s="267"/>
      <c r="G35" s="267"/>
    </row>
    <row r="36" spans="1:7" ht="15.75" x14ac:dyDescent="0.25">
      <c r="A36" s="289"/>
      <c r="B36" s="38"/>
      <c r="C36" s="89"/>
      <c r="D36" s="371"/>
      <c r="E36" s="335"/>
      <c r="F36" s="267"/>
      <c r="G36" s="267"/>
    </row>
    <row r="37" spans="1:7" ht="15.75" x14ac:dyDescent="0.25">
      <c r="A37" s="289"/>
      <c r="B37" s="38"/>
      <c r="C37" s="89"/>
      <c r="D37" s="371"/>
      <c r="E37" s="335"/>
      <c r="F37" s="267"/>
      <c r="G37" s="267"/>
    </row>
    <row r="38" spans="1:7" ht="15.75" x14ac:dyDescent="0.25">
      <c r="A38" s="289"/>
      <c r="B38" s="38"/>
      <c r="C38" s="89"/>
      <c r="D38" s="371"/>
      <c r="E38" s="335"/>
      <c r="F38" s="267"/>
      <c r="G38" s="267"/>
    </row>
    <row r="39" spans="1:7" ht="15.75" x14ac:dyDescent="0.25">
      <c r="A39" s="289"/>
      <c r="B39" s="38"/>
      <c r="C39" s="89"/>
      <c r="D39" s="371"/>
      <c r="E39" s="335"/>
      <c r="F39" s="267"/>
      <c r="G39" s="267"/>
    </row>
    <row r="40" spans="1:7" s="286" customFormat="1" ht="15.75" x14ac:dyDescent="0.25">
      <c r="A40" s="289"/>
      <c r="B40" s="38"/>
      <c r="C40" s="89"/>
      <c r="D40" s="371"/>
      <c r="E40" s="335"/>
      <c r="F40" s="267"/>
      <c r="G40" s="267"/>
    </row>
    <row r="41" spans="1:7" s="286" customFormat="1" ht="15.75" x14ac:dyDescent="0.25">
      <c r="A41" s="289"/>
      <c r="B41" s="38"/>
      <c r="C41" s="89"/>
      <c r="D41" s="371"/>
      <c r="E41" s="335"/>
      <c r="F41" s="267"/>
      <c r="G41" s="267"/>
    </row>
    <row r="42" spans="1:7" s="286" customFormat="1" ht="15.75" x14ac:dyDescent="0.25">
      <c r="A42" s="289"/>
      <c r="B42" s="38"/>
      <c r="C42" s="89"/>
      <c r="D42" s="371"/>
      <c r="E42" s="335"/>
      <c r="F42" s="267"/>
      <c r="G42" s="267"/>
    </row>
    <row r="43" spans="1:7" s="286" customFormat="1" ht="15.75" x14ac:dyDescent="0.25">
      <c r="A43" s="289"/>
      <c r="B43" s="38"/>
      <c r="C43" s="89"/>
      <c r="D43" s="371"/>
      <c r="E43" s="335"/>
      <c r="F43" s="267"/>
      <c r="G43" s="267"/>
    </row>
    <row r="44" spans="1:7" s="286" customFormat="1" ht="15.75" x14ac:dyDescent="0.25">
      <c r="A44" s="289"/>
      <c r="B44" s="38"/>
      <c r="C44" s="89"/>
      <c r="D44" s="371"/>
      <c r="E44" s="335"/>
      <c r="F44" s="267"/>
      <c r="G44" s="267"/>
    </row>
    <row r="45" spans="1:7" s="286" customFormat="1" ht="15.75" x14ac:dyDescent="0.25">
      <c r="A45" s="289"/>
      <c r="B45" s="38"/>
      <c r="C45" s="89"/>
      <c r="D45" s="371"/>
      <c r="E45" s="335"/>
      <c r="F45" s="401"/>
      <c r="G45" s="401"/>
    </row>
    <row r="46" spans="1:7" s="286" customFormat="1" ht="15.75" x14ac:dyDescent="0.25">
      <c r="A46" s="289"/>
      <c r="B46" s="38"/>
      <c r="C46" s="89"/>
      <c r="D46" s="371"/>
      <c r="E46" s="335"/>
      <c r="F46" s="401"/>
      <c r="G46" s="401"/>
    </row>
    <row r="47" spans="1:7" ht="15.75" x14ac:dyDescent="0.25">
      <c r="A47" s="289"/>
      <c r="B47" s="38"/>
      <c r="C47" s="89"/>
      <c r="D47" s="371"/>
      <c r="E47" s="335"/>
      <c r="F47" s="267"/>
      <c r="G47" s="267"/>
    </row>
    <row r="48" spans="1:7" ht="15.75" x14ac:dyDescent="0.25">
      <c r="A48" s="289"/>
      <c r="B48" s="38"/>
      <c r="C48" s="89"/>
      <c r="D48" s="371"/>
      <c r="E48" s="335"/>
      <c r="F48" s="267"/>
      <c r="G48" s="267"/>
    </row>
    <row r="49" spans="1:7" s="286" customFormat="1" ht="15.75" x14ac:dyDescent="0.25">
      <c r="A49" s="289"/>
      <c r="B49" s="38"/>
      <c r="C49" s="89"/>
      <c r="D49" s="371"/>
      <c r="E49" s="335"/>
      <c r="F49" s="401"/>
      <c r="G49" s="401"/>
    </row>
    <row r="50" spans="1:7" ht="15.75" x14ac:dyDescent="0.25">
      <c r="A50" s="289"/>
      <c r="B50" s="38"/>
      <c r="C50" s="89"/>
      <c r="D50" s="371"/>
      <c r="E50" s="335"/>
      <c r="F50" s="267"/>
      <c r="G50" s="267"/>
    </row>
    <row r="51" spans="1:7" ht="15.75" x14ac:dyDescent="0.25">
      <c r="A51" s="289"/>
      <c r="B51" s="38"/>
      <c r="C51" s="89"/>
      <c r="D51" s="371"/>
      <c r="E51" s="335"/>
      <c r="F51" s="267"/>
      <c r="G51" s="267"/>
    </row>
    <row r="52" spans="1:7" ht="15.75" x14ac:dyDescent="0.25">
      <c r="A52" s="289"/>
      <c r="B52" s="38"/>
      <c r="C52" s="89"/>
      <c r="D52" s="371"/>
      <c r="E52" s="335"/>
      <c r="F52" s="267"/>
      <c r="G52" s="267"/>
    </row>
    <row r="53" spans="1:7" ht="15.75" x14ac:dyDescent="0.25">
      <c r="A53" s="289"/>
      <c r="B53" s="38"/>
      <c r="C53" s="89"/>
      <c r="D53" s="371"/>
      <c r="E53" s="335"/>
      <c r="F53" s="267"/>
      <c r="G53" s="267"/>
    </row>
    <row r="54" spans="1:7" ht="15.75" x14ac:dyDescent="0.25">
      <c r="A54" s="289"/>
      <c r="B54" s="38"/>
      <c r="C54" s="89"/>
      <c r="D54" s="371"/>
      <c r="E54" s="335"/>
      <c r="F54" s="267"/>
      <c r="G54" s="267"/>
    </row>
    <row r="55" spans="1:7" ht="15.75" x14ac:dyDescent="0.25">
      <c r="A55" s="289"/>
      <c r="B55" s="38"/>
      <c r="C55" s="89"/>
      <c r="D55" s="371"/>
      <c r="E55" s="335"/>
      <c r="F55" s="267"/>
      <c r="G55" s="267"/>
    </row>
    <row r="56" spans="1:7" ht="15.75" x14ac:dyDescent="0.25">
      <c r="A56" s="93"/>
      <c r="B56" s="94"/>
      <c r="C56" s="95"/>
      <c r="D56" s="351"/>
      <c r="E56" s="352"/>
      <c r="F56" s="352"/>
      <c r="G56" s="353"/>
    </row>
    <row r="57" spans="1:7" ht="15.75" x14ac:dyDescent="0.25">
      <c r="A57" s="59"/>
      <c r="B57" s="287"/>
      <c r="C57" s="95"/>
      <c r="D57" s="351"/>
      <c r="E57" s="352"/>
      <c r="F57" s="352"/>
      <c r="G57" s="353"/>
    </row>
    <row r="58" spans="1:7" ht="15.75" x14ac:dyDescent="0.25">
      <c r="A58" s="384" t="s">
        <v>48</v>
      </c>
      <c r="B58" s="385"/>
      <c r="C58" s="386">
        <f>+SUM(C7:C57)</f>
        <v>13000</v>
      </c>
      <c r="D58" s="388">
        <f>SUM(D7:D57)</f>
        <v>12875</v>
      </c>
      <c r="E58" s="389">
        <f>SUM(E7:E57)</f>
        <v>12975</v>
      </c>
      <c r="F58" s="389">
        <f>SUM(F7:F57)</f>
        <v>12975</v>
      </c>
      <c r="G58" s="387">
        <f>SUM(G7:G57)</f>
        <v>12975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58"/>
  <sheetViews>
    <sheetView topLeftCell="A38" zoomScaleNormal="100" zoomScalePageLayoutView="130" workbookViewId="0">
      <selection activeCell="H58" sqref="H58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72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19" t="s">
        <v>38</v>
      </c>
      <c r="B2" s="74"/>
      <c r="C2" s="7"/>
      <c r="D2" s="7"/>
      <c r="E2" s="7"/>
      <c r="F2" s="8"/>
      <c r="G2" s="9" t="s">
        <v>7</v>
      </c>
    </row>
    <row r="3" spans="1:7" ht="18" x14ac:dyDescent="0.25">
      <c r="A3" s="10"/>
      <c r="B3" s="75"/>
      <c r="C3" s="12"/>
      <c r="D3" s="12"/>
      <c r="E3" s="12"/>
      <c r="F3" s="12"/>
      <c r="G3" s="12"/>
    </row>
    <row r="4" spans="1:7" ht="22.5" x14ac:dyDescent="0.3">
      <c r="A4" s="13"/>
      <c r="B4" s="76"/>
      <c r="C4" s="120" t="s">
        <v>8</v>
      </c>
      <c r="D4" s="121"/>
      <c r="E4" s="17" t="s">
        <v>9</v>
      </c>
      <c r="F4" s="18"/>
      <c r="G4" s="19"/>
    </row>
    <row r="5" spans="1:7" ht="18.75" x14ac:dyDescent="0.3">
      <c r="A5" s="20"/>
      <c r="B5" s="21"/>
      <c r="C5" s="122" t="s">
        <v>11</v>
      </c>
      <c r="D5" s="123" t="s">
        <v>12</v>
      </c>
      <c r="E5" s="24"/>
      <c r="F5" s="25"/>
      <c r="G5" s="26"/>
    </row>
    <row r="6" spans="1:7" ht="20.25" x14ac:dyDescent="0.3">
      <c r="A6" s="27" t="s">
        <v>56</v>
      </c>
      <c r="B6" s="28" t="s">
        <v>57</v>
      </c>
      <c r="C6" s="79">
        <v>2019</v>
      </c>
      <c r="D6" s="417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62" t="s">
        <v>153</v>
      </c>
      <c r="B7" s="48">
        <v>1585</v>
      </c>
      <c r="C7" s="35">
        <v>27500</v>
      </c>
      <c r="D7" s="57"/>
      <c r="E7" s="416"/>
      <c r="F7" s="36"/>
      <c r="G7" s="58"/>
    </row>
    <row r="8" spans="1:7" ht="15.75" x14ac:dyDescent="0.25">
      <c r="A8" s="289" t="s">
        <v>289</v>
      </c>
      <c r="B8" s="38">
        <v>1577</v>
      </c>
      <c r="C8" s="89">
        <v>4000</v>
      </c>
      <c r="D8" s="126"/>
      <c r="E8" s="63"/>
      <c r="F8" s="58"/>
      <c r="G8" s="58"/>
    </row>
    <row r="9" spans="1:7" ht="15.75" x14ac:dyDescent="0.25">
      <c r="A9" s="90" t="s">
        <v>375</v>
      </c>
      <c r="B9" s="51">
        <v>1589</v>
      </c>
      <c r="C9" s="383"/>
      <c r="D9" s="371"/>
      <c r="E9" s="335"/>
      <c r="F9" s="267"/>
      <c r="G9" s="437">
        <v>15000</v>
      </c>
    </row>
    <row r="10" spans="1:7" ht="15.75" x14ac:dyDescent="0.25">
      <c r="A10" s="289"/>
      <c r="B10" s="38"/>
      <c r="C10" s="89"/>
      <c r="D10" s="126"/>
      <c r="E10" s="63"/>
      <c r="F10" s="58"/>
      <c r="G10" s="58"/>
    </row>
    <row r="11" spans="1:7" ht="15.75" x14ac:dyDescent="0.25">
      <c r="A11" s="289"/>
      <c r="B11" s="38"/>
      <c r="C11" s="89"/>
      <c r="D11" s="126"/>
      <c r="E11" s="63"/>
      <c r="F11" s="58"/>
      <c r="G11" s="58"/>
    </row>
    <row r="12" spans="1:7" s="286" customFormat="1" ht="15.75" x14ac:dyDescent="0.25">
      <c r="A12" s="289"/>
      <c r="B12" s="38"/>
      <c r="C12" s="89"/>
      <c r="D12" s="126"/>
      <c r="E12" s="63"/>
      <c r="F12" s="58"/>
      <c r="G12" s="58"/>
    </row>
    <row r="13" spans="1:7" s="286" customFormat="1" ht="15.75" x14ac:dyDescent="0.25">
      <c r="A13" s="289"/>
      <c r="B13" s="38"/>
      <c r="C13" s="89"/>
      <c r="D13" s="126"/>
      <c r="E13" s="63"/>
      <c r="F13" s="58"/>
      <c r="G13" s="58"/>
    </row>
    <row r="14" spans="1:7" ht="15.75" x14ac:dyDescent="0.25">
      <c r="A14" s="289"/>
      <c r="B14" s="38"/>
      <c r="C14" s="89"/>
      <c r="D14" s="126"/>
      <c r="E14" s="63"/>
      <c r="F14" s="58"/>
      <c r="G14" s="58"/>
    </row>
    <row r="15" spans="1:7" ht="15.75" x14ac:dyDescent="0.25">
      <c r="A15" s="289"/>
      <c r="B15" s="38"/>
      <c r="C15" s="89"/>
      <c r="D15" s="126"/>
      <c r="E15" s="63"/>
      <c r="F15" s="58"/>
      <c r="G15" s="58"/>
    </row>
    <row r="16" spans="1:7" ht="15.75" x14ac:dyDescent="0.25">
      <c r="A16" s="62"/>
      <c r="B16" s="48"/>
      <c r="C16" s="112"/>
      <c r="D16" s="127"/>
      <c r="E16" s="55"/>
      <c r="F16" s="53"/>
      <c r="G16" s="53"/>
    </row>
    <row r="17" spans="1:7" ht="15.75" x14ac:dyDescent="0.25">
      <c r="A17" s="62"/>
      <c r="B17" s="48"/>
      <c r="C17" s="112"/>
      <c r="D17" s="127"/>
      <c r="E17" s="55"/>
      <c r="F17" s="53"/>
      <c r="G17" s="53"/>
    </row>
    <row r="18" spans="1:7" ht="15.75" x14ac:dyDescent="0.25">
      <c r="A18" s="62"/>
      <c r="B18" s="48"/>
      <c r="C18" s="112"/>
      <c r="D18" s="127"/>
      <c r="E18" s="55"/>
      <c r="F18" s="53"/>
      <c r="G18" s="53"/>
    </row>
    <row r="19" spans="1:7" ht="15.75" x14ac:dyDescent="0.25">
      <c r="A19" s="62"/>
      <c r="B19" s="48"/>
      <c r="C19" s="112"/>
      <c r="D19" s="127"/>
      <c r="E19" s="55"/>
      <c r="F19" s="53"/>
      <c r="G19" s="53"/>
    </row>
    <row r="20" spans="1:7" ht="15.75" x14ac:dyDescent="0.25">
      <c r="A20" s="62"/>
      <c r="B20" s="48"/>
      <c r="C20" s="112"/>
      <c r="D20" s="127"/>
      <c r="E20" s="55"/>
      <c r="F20" s="53"/>
      <c r="G20" s="53"/>
    </row>
    <row r="21" spans="1:7" ht="15.75" x14ac:dyDescent="0.25">
      <c r="A21" s="62"/>
      <c r="B21" s="48"/>
      <c r="C21" s="112"/>
      <c r="D21" s="127"/>
      <c r="E21" s="55"/>
      <c r="F21" s="53"/>
      <c r="G21" s="53"/>
    </row>
    <row r="22" spans="1:7" ht="15.75" x14ac:dyDescent="0.25">
      <c r="A22" s="62"/>
      <c r="B22" s="48"/>
      <c r="C22" s="112"/>
      <c r="D22" s="127"/>
      <c r="E22" s="55"/>
      <c r="F22" s="53"/>
      <c r="G22" s="53"/>
    </row>
    <row r="23" spans="1:7" ht="15.75" x14ac:dyDescent="0.25">
      <c r="A23" s="62"/>
      <c r="B23" s="48"/>
      <c r="C23" s="112"/>
      <c r="D23" s="127"/>
      <c r="E23" s="55"/>
      <c r="F23" s="53"/>
      <c r="G23" s="53"/>
    </row>
    <row r="24" spans="1:7" ht="15.75" x14ac:dyDescent="0.25">
      <c r="A24" s="62"/>
      <c r="B24" s="48"/>
      <c r="C24" s="112"/>
      <c r="D24" s="127"/>
      <c r="E24" s="55"/>
      <c r="F24" s="53"/>
      <c r="G24" s="53"/>
    </row>
    <row r="25" spans="1:7" ht="15.75" x14ac:dyDescent="0.25">
      <c r="A25" s="62"/>
      <c r="B25" s="48"/>
      <c r="C25" s="112"/>
      <c r="D25" s="127"/>
      <c r="E25" s="55"/>
      <c r="F25" s="53"/>
      <c r="G25" s="53"/>
    </row>
    <row r="26" spans="1:7" ht="15.75" x14ac:dyDescent="0.25">
      <c r="A26" s="62"/>
      <c r="B26" s="48"/>
      <c r="C26" s="112"/>
      <c r="D26" s="127"/>
      <c r="E26" s="55"/>
      <c r="F26" s="53"/>
      <c r="G26" s="53"/>
    </row>
    <row r="27" spans="1:7" ht="15.75" x14ac:dyDescent="0.25">
      <c r="A27" s="62"/>
      <c r="B27" s="48"/>
      <c r="C27" s="112"/>
      <c r="D27" s="127"/>
      <c r="E27" s="55"/>
      <c r="F27" s="53"/>
      <c r="G27" s="53"/>
    </row>
    <row r="28" spans="1:7" ht="15.75" x14ac:dyDescent="0.25">
      <c r="A28" s="62"/>
      <c r="B28" s="48"/>
      <c r="C28" s="112"/>
      <c r="D28" s="127"/>
      <c r="E28" s="55"/>
      <c r="F28" s="53"/>
      <c r="G28" s="53"/>
    </row>
    <row r="29" spans="1:7" ht="15.75" x14ac:dyDescent="0.25">
      <c r="A29" s="62"/>
      <c r="B29" s="48"/>
      <c r="C29" s="112"/>
      <c r="D29" s="127"/>
      <c r="E29" s="55"/>
      <c r="F29" s="53"/>
      <c r="G29" s="53"/>
    </row>
    <row r="30" spans="1:7" ht="15.75" x14ac:dyDescent="0.25">
      <c r="A30" s="62"/>
      <c r="B30" s="48"/>
      <c r="C30" s="112"/>
      <c r="D30" s="127"/>
      <c r="E30" s="55"/>
      <c r="F30" s="53"/>
      <c r="G30" s="53"/>
    </row>
    <row r="31" spans="1:7" ht="15.75" x14ac:dyDescent="0.25">
      <c r="A31" s="62"/>
      <c r="B31" s="48"/>
      <c r="C31" s="112"/>
      <c r="D31" s="127"/>
      <c r="E31" s="55"/>
      <c r="F31" s="53"/>
      <c r="G31" s="53"/>
    </row>
    <row r="32" spans="1:7" ht="15.75" x14ac:dyDescent="0.25">
      <c r="A32" s="62"/>
      <c r="B32" s="48"/>
      <c r="C32" s="112"/>
      <c r="D32" s="127"/>
      <c r="E32" s="55"/>
      <c r="F32" s="53"/>
      <c r="G32" s="53"/>
    </row>
    <row r="33" spans="1:7" s="286" customFormat="1" ht="15.75" x14ac:dyDescent="0.25">
      <c r="A33" s="62"/>
      <c r="B33" s="48"/>
      <c r="C33" s="112"/>
      <c r="D33" s="127"/>
      <c r="E33" s="55"/>
      <c r="F33" s="53"/>
      <c r="G33" s="53"/>
    </row>
    <row r="34" spans="1:7" s="286" customFormat="1" ht="15.75" x14ac:dyDescent="0.25">
      <c r="A34" s="62"/>
      <c r="B34" s="48"/>
      <c r="C34" s="112"/>
      <c r="D34" s="127"/>
      <c r="E34" s="55"/>
      <c r="F34" s="53"/>
      <c r="G34" s="53"/>
    </row>
    <row r="35" spans="1:7" s="286" customFormat="1" ht="15.75" x14ac:dyDescent="0.25">
      <c r="A35" s="62"/>
      <c r="B35" s="48"/>
      <c r="C35" s="112"/>
      <c r="D35" s="127"/>
      <c r="E35" s="55"/>
      <c r="F35" s="53"/>
      <c r="G35" s="53"/>
    </row>
    <row r="36" spans="1:7" ht="15.75" x14ac:dyDescent="0.25">
      <c r="A36" s="62"/>
      <c r="B36" s="48"/>
      <c r="C36" s="112"/>
      <c r="D36" s="127"/>
      <c r="E36" s="55"/>
      <c r="F36" s="53"/>
      <c r="G36" s="53"/>
    </row>
    <row r="37" spans="1:7" ht="15.75" x14ac:dyDescent="0.25">
      <c r="A37" s="62"/>
      <c r="B37" s="48"/>
      <c r="C37" s="112"/>
      <c r="D37" s="127"/>
      <c r="E37" s="55"/>
      <c r="F37" s="53"/>
      <c r="G37" s="53"/>
    </row>
    <row r="38" spans="1:7" ht="15.75" x14ac:dyDescent="0.25">
      <c r="A38" s="62"/>
      <c r="B38" s="48"/>
      <c r="C38" s="112"/>
      <c r="D38" s="127"/>
      <c r="E38" s="55"/>
      <c r="F38" s="53"/>
      <c r="G38" s="53"/>
    </row>
    <row r="39" spans="1:7" ht="15.75" x14ac:dyDescent="0.25">
      <c r="A39" s="62"/>
      <c r="B39" s="48"/>
      <c r="C39" s="112"/>
      <c r="D39" s="127"/>
      <c r="E39" s="55"/>
      <c r="F39" s="53"/>
      <c r="G39" s="53"/>
    </row>
    <row r="40" spans="1:7" ht="15.75" x14ac:dyDescent="0.25">
      <c r="A40" s="62"/>
      <c r="B40" s="48"/>
      <c r="C40" s="112"/>
      <c r="D40" s="127"/>
      <c r="E40" s="55"/>
      <c r="F40" s="53"/>
      <c r="G40" s="53"/>
    </row>
    <row r="41" spans="1:7" ht="15.75" x14ac:dyDescent="0.25">
      <c r="A41" s="62"/>
      <c r="B41" s="48"/>
      <c r="C41" s="112"/>
      <c r="D41" s="127"/>
      <c r="E41" s="55"/>
      <c r="F41" s="53"/>
      <c r="G41" s="53"/>
    </row>
    <row r="42" spans="1:7" ht="15.75" x14ac:dyDescent="0.25">
      <c r="A42" s="62"/>
      <c r="B42" s="48"/>
      <c r="C42" s="112"/>
      <c r="D42" s="127"/>
      <c r="E42" s="55"/>
      <c r="F42" s="53"/>
      <c r="G42" s="53"/>
    </row>
    <row r="43" spans="1:7" ht="15.75" x14ac:dyDescent="0.25">
      <c r="A43" s="62"/>
      <c r="B43" s="48"/>
      <c r="C43" s="112"/>
      <c r="D43" s="127"/>
      <c r="E43" s="55"/>
      <c r="F43" s="53"/>
      <c r="G43" s="53"/>
    </row>
    <row r="44" spans="1:7" ht="15.75" x14ac:dyDescent="0.25">
      <c r="A44" s="62"/>
      <c r="B44" s="48"/>
      <c r="C44" s="112"/>
      <c r="D44" s="127"/>
      <c r="E44" s="55"/>
      <c r="F44" s="53"/>
      <c r="G44" s="53"/>
    </row>
    <row r="45" spans="1:7" ht="15.75" x14ac:dyDescent="0.25">
      <c r="A45" s="62"/>
      <c r="B45" s="48"/>
      <c r="C45" s="112"/>
      <c r="D45" s="127"/>
      <c r="E45" s="55"/>
      <c r="F45" s="53"/>
      <c r="G45" s="53"/>
    </row>
    <row r="46" spans="1:7" ht="15.75" x14ac:dyDescent="0.25">
      <c r="A46" s="289"/>
      <c r="B46" s="38"/>
      <c r="C46" s="89"/>
      <c r="D46" s="126"/>
      <c r="E46" s="63"/>
      <c r="F46" s="58"/>
      <c r="G46" s="58"/>
    </row>
    <row r="47" spans="1:7" ht="15.75" x14ac:dyDescent="0.25">
      <c r="A47" s="289"/>
      <c r="B47" s="38"/>
      <c r="C47" s="89"/>
      <c r="D47" s="126"/>
      <c r="E47" s="63"/>
      <c r="F47" s="58"/>
      <c r="G47" s="58"/>
    </row>
    <row r="48" spans="1:7" ht="15.75" x14ac:dyDescent="0.25">
      <c r="A48" s="289"/>
      <c r="B48" s="38"/>
      <c r="C48" s="89"/>
      <c r="D48" s="126"/>
      <c r="E48" s="63"/>
      <c r="F48" s="58"/>
      <c r="G48" s="58"/>
    </row>
    <row r="49" spans="1:7" ht="15.75" x14ac:dyDescent="0.25">
      <c r="A49" s="289"/>
      <c r="B49" s="38"/>
      <c r="C49" s="89"/>
      <c r="D49" s="126"/>
      <c r="E49" s="63"/>
      <c r="F49" s="58"/>
      <c r="G49" s="58"/>
    </row>
    <row r="50" spans="1:7" ht="15.75" x14ac:dyDescent="0.25">
      <c r="A50" s="289"/>
      <c r="B50" s="38"/>
      <c r="C50" s="89"/>
      <c r="D50" s="126"/>
      <c r="E50" s="63"/>
      <c r="F50" s="58"/>
      <c r="G50" s="58"/>
    </row>
    <row r="51" spans="1:7" ht="15.75" x14ac:dyDescent="0.25">
      <c r="A51" s="289"/>
      <c r="B51" s="38"/>
      <c r="C51" s="89"/>
      <c r="D51" s="126"/>
      <c r="E51" s="63"/>
      <c r="F51" s="58"/>
      <c r="G51" s="58"/>
    </row>
    <row r="52" spans="1:7" ht="15.75" x14ac:dyDescent="0.25">
      <c r="A52" s="289"/>
      <c r="B52" s="38"/>
      <c r="C52" s="89"/>
      <c r="D52" s="126"/>
      <c r="E52" s="63"/>
      <c r="F52" s="58"/>
      <c r="G52" s="58"/>
    </row>
    <row r="53" spans="1:7" ht="15.75" x14ac:dyDescent="0.25">
      <c r="A53" s="289"/>
      <c r="B53" s="38"/>
      <c r="C53" s="89"/>
      <c r="D53" s="126"/>
      <c r="E53" s="63"/>
      <c r="F53" s="58"/>
      <c r="G53" s="58"/>
    </row>
    <row r="54" spans="1:7" ht="15.75" x14ac:dyDescent="0.25">
      <c r="A54" s="289"/>
      <c r="B54" s="38"/>
      <c r="C54" s="89"/>
      <c r="D54" s="126"/>
      <c r="E54" s="63"/>
      <c r="F54" s="58"/>
      <c r="G54" s="58"/>
    </row>
    <row r="55" spans="1:7" ht="15.75" x14ac:dyDescent="0.25">
      <c r="A55" s="289"/>
      <c r="B55" s="38"/>
      <c r="C55" s="89"/>
      <c r="D55" s="126"/>
      <c r="E55" s="63"/>
      <c r="F55" s="58"/>
      <c r="G55" s="58"/>
    </row>
    <row r="56" spans="1:7" ht="15.75" x14ac:dyDescent="0.25">
      <c r="A56" s="93"/>
      <c r="B56" s="94"/>
      <c r="C56" s="95"/>
      <c r="D56" s="117"/>
      <c r="E56" s="60"/>
      <c r="F56" s="60"/>
      <c r="G56" s="97"/>
    </row>
    <row r="57" spans="1:7" ht="16.5" thickBot="1" x14ac:dyDescent="0.3">
      <c r="A57" s="59"/>
      <c r="B57" s="287"/>
      <c r="C57" s="95"/>
      <c r="D57" s="117"/>
      <c r="E57" s="60"/>
      <c r="F57" s="60"/>
      <c r="G57" s="97"/>
    </row>
    <row r="58" spans="1:7" ht="16.5" thickBot="1" x14ac:dyDescent="0.3">
      <c r="A58" s="384" t="s">
        <v>48</v>
      </c>
      <c r="B58" s="385"/>
      <c r="C58" s="386">
        <f>SUM(C7:C57)</f>
        <v>31500</v>
      </c>
      <c r="D58" s="388">
        <f>SUM(D7:D57)</f>
        <v>0</v>
      </c>
      <c r="E58" s="389">
        <f>SUM(E7:E57)</f>
        <v>0</v>
      </c>
      <c r="F58" s="389">
        <f>SUM(F7:F57)</f>
        <v>0</v>
      </c>
      <c r="G58" s="387">
        <f>SUM(G7:G57)</f>
        <v>15000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8"/>
  <sheetViews>
    <sheetView zoomScaleNormal="100" zoomScalePageLayoutView="140" workbookViewId="0">
      <selection activeCell="F16" sqref="F16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72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19" t="s">
        <v>160</v>
      </c>
      <c r="B2" s="74"/>
      <c r="C2" s="7"/>
      <c r="D2" s="7"/>
      <c r="E2" s="7"/>
      <c r="F2" s="8"/>
      <c r="G2" s="9" t="s">
        <v>7</v>
      </c>
    </row>
    <row r="3" spans="1:7" ht="18" x14ac:dyDescent="0.25">
      <c r="A3" s="10"/>
      <c r="B3" s="75"/>
      <c r="C3" s="12"/>
      <c r="D3" s="12"/>
      <c r="E3" s="12"/>
      <c r="F3" s="12"/>
      <c r="G3" s="12"/>
    </row>
    <row r="4" spans="1:7" ht="22.5" x14ac:dyDescent="0.3">
      <c r="A4" s="13"/>
      <c r="B4" s="76"/>
      <c r="C4" s="120" t="s">
        <v>8</v>
      </c>
      <c r="D4" s="121"/>
      <c r="E4" s="17" t="s">
        <v>9</v>
      </c>
      <c r="F4" s="18"/>
      <c r="G4" s="19"/>
    </row>
    <row r="5" spans="1:7" ht="18.75" x14ac:dyDescent="0.3">
      <c r="A5" s="20"/>
      <c r="B5" s="21"/>
      <c r="C5" s="122" t="s">
        <v>11</v>
      </c>
      <c r="D5" s="123" t="s">
        <v>12</v>
      </c>
      <c r="E5" s="24"/>
      <c r="F5" s="25"/>
      <c r="G5" s="26"/>
    </row>
    <row r="6" spans="1:7" ht="20.25" x14ac:dyDescent="0.3">
      <c r="A6" s="27" t="s">
        <v>56</v>
      </c>
      <c r="B6" s="28" t="s">
        <v>57</v>
      </c>
      <c r="C6" s="79">
        <v>2019</v>
      </c>
      <c r="D6" s="417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90" t="s">
        <v>414</v>
      </c>
      <c r="B7" s="51">
        <v>1229</v>
      </c>
      <c r="C7" s="383">
        <v>2000</v>
      </c>
      <c r="D7" s="485">
        <v>10000</v>
      </c>
      <c r="E7" s="486">
        <f>23000+6700+1800+10000</f>
        <v>41500</v>
      </c>
      <c r="F7" s="437"/>
      <c r="G7" s="437"/>
    </row>
    <row r="8" spans="1:7" ht="15.75" x14ac:dyDescent="0.25">
      <c r="A8" s="90" t="s">
        <v>171</v>
      </c>
      <c r="B8" s="51">
        <v>1203</v>
      </c>
      <c r="C8" s="383">
        <f>135000-100000</f>
        <v>35000</v>
      </c>
      <c r="D8" s="485">
        <v>80000</v>
      </c>
      <c r="E8" s="486">
        <v>85000</v>
      </c>
      <c r="F8" s="267"/>
      <c r="G8" s="267"/>
    </row>
    <row r="9" spans="1:7" ht="15.75" x14ac:dyDescent="0.25">
      <c r="A9" s="90" t="s">
        <v>185</v>
      </c>
      <c r="B9" s="51">
        <v>1227</v>
      </c>
      <c r="C9" s="383">
        <v>1500</v>
      </c>
      <c r="D9" s="371"/>
      <c r="E9" s="335"/>
      <c r="F9" s="267"/>
      <c r="G9" s="267"/>
    </row>
    <row r="10" spans="1:7" s="421" customFormat="1" ht="15.75" x14ac:dyDescent="0.25">
      <c r="A10" s="90" t="s">
        <v>418</v>
      </c>
      <c r="B10" s="51">
        <v>1503</v>
      </c>
      <c r="C10" s="383"/>
      <c r="D10" s="371">
        <v>1500</v>
      </c>
      <c r="E10" s="335"/>
      <c r="F10" s="437"/>
      <c r="G10" s="437"/>
    </row>
    <row r="11" spans="1:7" s="421" customFormat="1" ht="15.75" x14ac:dyDescent="0.25">
      <c r="A11" s="90" t="s">
        <v>417</v>
      </c>
      <c r="B11" s="51">
        <v>1504</v>
      </c>
      <c r="C11" s="383"/>
      <c r="D11" s="371">
        <v>2000</v>
      </c>
      <c r="E11" s="335"/>
      <c r="F11" s="419"/>
      <c r="G11" s="419"/>
    </row>
    <row r="12" spans="1:7" ht="15.75" x14ac:dyDescent="0.25">
      <c r="A12" s="90" t="s">
        <v>269</v>
      </c>
      <c r="B12" s="51">
        <v>1208</v>
      </c>
      <c r="C12" s="383">
        <v>400</v>
      </c>
      <c r="D12" s="371"/>
      <c r="E12" s="335"/>
      <c r="F12" s="267"/>
      <c r="G12" s="267"/>
    </row>
    <row r="13" spans="1:7" ht="15.75" x14ac:dyDescent="0.25">
      <c r="A13" s="90" t="s">
        <v>415</v>
      </c>
      <c r="B13" s="51">
        <v>1505</v>
      </c>
      <c r="C13" s="383"/>
      <c r="D13" s="371"/>
      <c r="E13" s="486">
        <v>200</v>
      </c>
      <c r="F13" s="437"/>
      <c r="G13" s="58"/>
    </row>
    <row r="14" spans="1:7" ht="15.75" x14ac:dyDescent="0.25">
      <c r="A14" s="90" t="s">
        <v>416</v>
      </c>
      <c r="B14" s="51">
        <v>1506</v>
      </c>
      <c r="C14" s="383"/>
      <c r="D14" s="371"/>
      <c r="E14" s="486"/>
      <c r="F14" s="437">
        <v>500</v>
      </c>
      <c r="G14" s="58"/>
    </row>
    <row r="15" spans="1:7" ht="15.75" x14ac:dyDescent="0.25">
      <c r="A15" s="90"/>
      <c r="B15" s="51"/>
      <c r="C15" s="383"/>
      <c r="D15" s="371"/>
      <c r="E15" s="335"/>
      <c r="F15" s="267"/>
      <c r="G15" s="58"/>
    </row>
    <row r="16" spans="1:7" ht="15.75" x14ac:dyDescent="0.25">
      <c r="A16" s="289"/>
      <c r="B16" s="38"/>
      <c r="C16" s="89"/>
      <c r="D16" s="126"/>
      <c r="E16" s="335"/>
      <c r="F16" s="267"/>
      <c r="G16" s="58"/>
    </row>
    <row r="17" spans="1:7" ht="15.75" x14ac:dyDescent="0.25">
      <c r="A17" s="289"/>
      <c r="B17" s="38"/>
      <c r="C17" s="89"/>
      <c r="D17" s="126"/>
      <c r="E17" s="335"/>
      <c r="F17" s="267"/>
      <c r="G17" s="58"/>
    </row>
    <row r="18" spans="1:7" ht="15.75" x14ac:dyDescent="0.25">
      <c r="A18" s="289"/>
      <c r="B18" s="38"/>
      <c r="C18" s="89"/>
      <c r="D18" s="126"/>
      <c r="E18" s="335"/>
      <c r="F18" s="267"/>
      <c r="G18" s="58"/>
    </row>
    <row r="19" spans="1:7" ht="15.75" x14ac:dyDescent="0.25">
      <c r="A19" s="289"/>
      <c r="B19" s="38"/>
      <c r="C19" s="89"/>
      <c r="D19" s="126"/>
      <c r="E19" s="335"/>
      <c r="F19" s="267"/>
      <c r="G19" s="58"/>
    </row>
    <row r="20" spans="1:7" ht="15.75" x14ac:dyDescent="0.25">
      <c r="A20" s="289"/>
      <c r="B20" s="38"/>
      <c r="C20" s="89"/>
      <c r="D20" s="126"/>
      <c r="E20" s="63"/>
      <c r="F20" s="58"/>
      <c r="G20" s="58"/>
    </row>
    <row r="21" spans="1:7" ht="15.75" x14ac:dyDescent="0.25">
      <c r="A21" s="289"/>
      <c r="B21" s="38"/>
      <c r="C21" s="89"/>
      <c r="D21" s="126"/>
      <c r="E21" s="63"/>
      <c r="F21" s="58"/>
      <c r="G21" s="58"/>
    </row>
    <row r="22" spans="1:7" ht="15.75" x14ac:dyDescent="0.25">
      <c r="A22" s="289"/>
      <c r="B22" s="38"/>
      <c r="C22" s="89"/>
      <c r="D22" s="126"/>
      <c r="E22" s="63"/>
      <c r="F22" s="58"/>
      <c r="G22" s="58"/>
    </row>
    <row r="23" spans="1:7" ht="15.75" x14ac:dyDescent="0.25">
      <c r="A23" s="289"/>
      <c r="B23" s="38"/>
      <c r="C23" s="89"/>
      <c r="D23" s="126"/>
      <c r="E23" s="63"/>
      <c r="F23" s="58"/>
      <c r="G23" s="58"/>
    </row>
    <row r="24" spans="1:7" ht="15.75" x14ac:dyDescent="0.25">
      <c r="A24" s="289"/>
      <c r="B24" s="38"/>
      <c r="C24" s="89"/>
      <c r="D24" s="126"/>
      <c r="E24" s="63"/>
      <c r="F24" s="58"/>
      <c r="G24" s="58"/>
    </row>
    <row r="25" spans="1:7" ht="15.75" x14ac:dyDescent="0.25">
      <c r="A25" s="289"/>
      <c r="B25" s="38"/>
      <c r="C25" s="89"/>
      <c r="D25" s="126"/>
      <c r="E25" s="63"/>
      <c r="F25" s="58"/>
      <c r="G25" s="58"/>
    </row>
    <row r="26" spans="1:7" ht="15.75" x14ac:dyDescent="0.25">
      <c r="A26" s="289"/>
      <c r="B26" s="38"/>
      <c r="C26" s="89"/>
      <c r="D26" s="126"/>
      <c r="E26" s="63"/>
      <c r="F26" s="58"/>
      <c r="G26" s="58"/>
    </row>
    <row r="27" spans="1:7" ht="15.75" x14ac:dyDescent="0.25">
      <c r="A27" s="289"/>
      <c r="B27" s="38"/>
      <c r="C27" s="89"/>
      <c r="D27" s="126"/>
      <c r="E27" s="63"/>
      <c r="F27" s="58"/>
      <c r="G27" s="58"/>
    </row>
    <row r="28" spans="1:7" s="286" customFormat="1" ht="15.75" x14ac:dyDescent="0.25">
      <c r="A28" s="289"/>
      <c r="B28" s="38"/>
      <c r="C28" s="89"/>
      <c r="D28" s="126"/>
      <c r="E28" s="63"/>
      <c r="F28" s="58"/>
      <c r="G28" s="58"/>
    </row>
    <row r="29" spans="1:7" s="286" customFormat="1" ht="15.75" x14ac:dyDescent="0.25">
      <c r="A29" s="289"/>
      <c r="B29" s="38"/>
      <c r="C29" s="89"/>
      <c r="D29" s="126"/>
      <c r="E29" s="63"/>
      <c r="F29" s="58"/>
      <c r="G29" s="58"/>
    </row>
    <row r="30" spans="1:7" s="286" customFormat="1" ht="15.75" x14ac:dyDescent="0.25">
      <c r="A30" s="289"/>
      <c r="B30" s="38"/>
      <c r="C30" s="89"/>
      <c r="D30" s="126"/>
      <c r="E30" s="63"/>
      <c r="F30" s="58"/>
      <c r="G30" s="58"/>
    </row>
    <row r="31" spans="1:7" s="286" customFormat="1" ht="15.75" x14ac:dyDescent="0.25">
      <c r="A31" s="289"/>
      <c r="B31" s="38"/>
      <c r="C31" s="89"/>
      <c r="D31" s="126"/>
      <c r="E31" s="63"/>
      <c r="F31" s="58"/>
      <c r="G31" s="58"/>
    </row>
    <row r="32" spans="1:7" s="286" customFormat="1" ht="15.75" x14ac:dyDescent="0.25">
      <c r="A32" s="289"/>
      <c r="B32" s="38"/>
      <c r="C32" s="89"/>
      <c r="D32" s="126"/>
      <c r="E32" s="63"/>
      <c r="F32" s="58"/>
      <c r="G32" s="58"/>
    </row>
    <row r="33" spans="1:7" s="286" customFormat="1" ht="15.75" x14ac:dyDescent="0.25">
      <c r="A33" s="289"/>
      <c r="B33" s="38"/>
      <c r="C33" s="89"/>
      <c r="D33" s="126"/>
      <c r="E33" s="63"/>
      <c r="F33" s="58"/>
      <c r="G33" s="58"/>
    </row>
    <row r="34" spans="1:7" ht="15.75" x14ac:dyDescent="0.25">
      <c r="A34" s="289"/>
      <c r="B34" s="38"/>
      <c r="C34" s="89"/>
      <c r="D34" s="126"/>
      <c r="E34" s="63"/>
      <c r="F34" s="58"/>
      <c r="G34" s="58"/>
    </row>
    <row r="35" spans="1:7" ht="15.75" x14ac:dyDescent="0.25">
      <c r="A35" s="289"/>
      <c r="B35" s="38"/>
      <c r="C35" s="89"/>
      <c r="D35" s="126"/>
      <c r="E35" s="63"/>
      <c r="F35" s="58"/>
      <c r="G35" s="58"/>
    </row>
    <row r="36" spans="1:7" ht="15.75" x14ac:dyDescent="0.25">
      <c r="A36" s="289"/>
      <c r="B36" s="38"/>
      <c r="C36" s="89"/>
      <c r="D36" s="126"/>
      <c r="E36" s="63"/>
      <c r="F36" s="58"/>
      <c r="G36" s="58"/>
    </row>
    <row r="37" spans="1:7" ht="15.75" x14ac:dyDescent="0.25">
      <c r="A37" s="289"/>
      <c r="B37" s="38"/>
      <c r="C37" s="89"/>
      <c r="D37" s="126"/>
      <c r="E37" s="63"/>
      <c r="F37" s="58"/>
      <c r="G37" s="58"/>
    </row>
    <row r="38" spans="1:7" ht="15.75" x14ac:dyDescent="0.25">
      <c r="A38" s="289"/>
      <c r="B38" s="38"/>
      <c r="C38" s="89"/>
      <c r="D38" s="126"/>
      <c r="E38" s="63"/>
      <c r="F38" s="58"/>
      <c r="G38" s="58"/>
    </row>
    <row r="39" spans="1:7" ht="15.75" x14ac:dyDescent="0.25">
      <c r="A39" s="289"/>
      <c r="B39" s="38"/>
      <c r="C39" s="89"/>
      <c r="D39" s="126"/>
      <c r="E39" s="63"/>
      <c r="F39" s="58"/>
      <c r="G39" s="58"/>
    </row>
    <row r="40" spans="1:7" ht="15.75" x14ac:dyDescent="0.25">
      <c r="A40" s="289"/>
      <c r="B40" s="38"/>
      <c r="C40" s="89"/>
      <c r="D40" s="126"/>
      <c r="E40" s="63"/>
      <c r="F40" s="58"/>
      <c r="G40" s="58"/>
    </row>
    <row r="41" spans="1:7" s="286" customFormat="1" ht="15.75" x14ac:dyDescent="0.25">
      <c r="A41" s="289"/>
      <c r="B41" s="38"/>
      <c r="C41" s="89"/>
      <c r="D41" s="126"/>
      <c r="E41" s="63"/>
      <c r="F41" s="402"/>
      <c r="G41" s="402"/>
    </row>
    <row r="42" spans="1:7" s="286" customFormat="1" ht="15.75" x14ac:dyDescent="0.25">
      <c r="A42" s="289"/>
      <c r="B42" s="38"/>
      <c r="C42" s="89"/>
      <c r="D42" s="126"/>
      <c r="E42" s="63"/>
      <c r="F42" s="402"/>
      <c r="G42" s="402"/>
    </row>
    <row r="43" spans="1:7" s="286" customFormat="1" ht="15.75" x14ac:dyDescent="0.25">
      <c r="A43" s="289"/>
      <c r="B43" s="38"/>
      <c r="C43" s="89"/>
      <c r="D43" s="126"/>
      <c r="E43" s="63"/>
      <c r="F43" s="402"/>
      <c r="G43" s="402"/>
    </row>
    <row r="44" spans="1:7" s="286" customFormat="1" ht="15.75" x14ac:dyDescent="0.25">
      <c r="A44" s="289"/>
      <c r="B44" s="38"/>
      <c r="C44" s="89"/>
      <c r="D44" s="126"/>
      <c r="E44" s="63"/>
      <c r="F44" s="402"/>
      <c r="G44" s="402"/>
    </row>
    <row r="45" spans="1:7" s="286" customFormat="1" ht="15.75" x14ac:dyDescent="0.25">
      <c r="A45" s="289"/>
      <c r="B45" s="38"/>
      <c r="C45" s="89"/>
      <c r="D45" s="126"/>
      <c r="E45" s="63"/>
      <c r="F45" s="402"/>
      <c r="G45" s="402"/>
    </row>
    <row r="46" spans="1:7" s="286" customFormat="1" ht="15.75" x14ac:dyDescent="0.25">
      <c r="A46" s="289"/>
      <c r="B46" s="38"/>
      <c r="C46" s="89"/>
      <c r="D46" s="126"/>
      <c r="E46" s="63"/>
      <c r="F46" s="402"/>
      <c r="G46" s="402"/>
    </row>
    <row r="47" spans="1:7" ht="15.75" x14ac:dyDescent="0.25">
      <c r="A47" s="289"/>
      <c r="B47" s="38"/>
      <c r="C47" s="89"/>
      <c r="D47" s="126"/>
      <c r="E47" s="63"/>
      <c r="F47" s="58"/>
      <c r="G47" s="58"/>
    </row>
    <row r="48" spans="1:7" ht="15.75" x14ac:dyDescent="0.25">
      <c r="A48" s="289"/>
      <c r="B48" s="38"/>
      <c r="C48" s="89"/>
      <c r="D48" s="126"/>
      <c r="E48" s="63"/>
      <c r="F48" s="58"/>
      <c r="G48" s="58"/>
    </row>
    <row r="49" spans="1:7" ht="15.75" x14ac:dyDescent="0.25">
      <c r="A49" s="289"/>
      <c r="B49" s="38"/>
      <c r="C49" s="89"/>
      <c r="D49" s="126"/>
      <c r="E49" s="63"/>
      <c r="F49" s="58"/>
      <c r="G49" s="58"/>
    </row>
    <row r="50" spans="1:7" ht="15.75" x14ac:dyDescent="0.25">
      <c r="A50" s="289"/>
      <c r="B50" s="38"/>
      <c r="C50" s="89"/>
      <c r="D50" s="126"/>
      <c r="E50" s="63"/>
      <c r="F50" s="58"/>
      <c r="G50" s="58"/>
    </row>
    <row r="51" spans="1:7" ht="15.75" x14ac:dyDescent="0.25">
      <c r="A51" s="289"/>
      <c r="B51" s="38"/>
      <c r="C51" s="89"/>
      <c r="D51" s="126"/>
      <c r="E51" s="63"/>
      <c r="F51" s="58"/>
      <c r="G51" s="58"/>
    </row>
    <row r="52" spans="1:7" ht="15.75" x14ac:dyDescent="0.25">
      <c r="A52" s="289"/>
      <c r="B52" s="38"/>
      <c r="C52" s="89"/>
      <c r="D52" s="126"/>
      <c r="E52" s="63"/>
      <c r="F52" s="58"/>
      <c r="G52" s="58"/>
    </row>
    <row r="53" spans="1:7" ht="15.75" x14ac:dyDescent="0.25">
      <c r="A53" s="289"/>
      <c r="B53" s="38"/>
      <c r="C53" s="89"/>
      <c r="D53" s="126"/>
      <c r="E53" s="63"/>
      <c r="F53" s="58"/>
      <c r="G53" s="58"/>
    </row>
    <row r="54" spans="1:7" ht="15.75" x14ac:dyDescent="0.25">
      <c r="A54" s="289"/>
      <c r="B54" s="38"/>
      <c r="C54" s="89"/>
      <c r="D54" s="126"/>
      <c r="E54" s="63"/>
      <c r="F54" s="58"/>
      <c r="G54" s="58"/>
    </row>
    <row r="55" spans="1:7" ht="15.75" x14ac:dyDescent="0.25">
      <c r="A55" s="289"/>
      <c r="B55" s="38"/>
      <c r="C55" s="89"/>
      <c r="D55" s="126"/>
      <c r="E55" s="63"/>
      <c r="F55" s="58"/>
      <c r="G55" s="58"/>
    </row>
    <row r="56" spans="1:7" ht="15.75" x14ac:dyDescent="0.25">
      <c r="A56" s="93"/>
      <c r="B56" s="94"/>
      <c r="C56" s="95"/>
      <c r="D56" s="117"/>
      <c r="E56" s="60"/>
      <c r="F56" s="60"/>
      <c r="G56" s="97"/>
    </row>
    <row r="57" spans="1:7" ht="15.75" x14ac:dyDescent="0.25">
      <c r="A57" s="59"/>
      <c r="B57" s="287"/>
      <c r="C57" s="95"/>
      <c r="D57" s="117"/>
      <c r="E57" s="60"/>
      <c r="F57" s="60"/>
      <c r="G57" s="97"/>
    </row>
    <row r="58" spans="1:7" ht="15.75" x14ac:dyDescent="0.25">
      <c r="A58" s="384" t="s">
        <v>48</v>
      </c>
      <c r="B58" s="385"/>
      <c r="C58" s="386">
        <f>SUM(C7:C57)</f>
        <v>38900</v>
      </c>
      <c r="D58" s="388">
        <f>SUM(D7:D57)</f>
        <v>93500</v>
      </c>
      <c r="E58" s="389">
        <f>SUM(E7:E57)</f>
        <v>126700</v>
      </c>
      <c r="F58" s="389">
        <f>SUM(F7:F57)</f>
        <v>500</v>
      </c>
      <c r="G58" s="387">
        <f>SUM(G7:G57)</f>
        <v>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  <ignoredErrors>
    <ignoredError sqref="C58:G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58"/>
  <sheetViews>
    <sheetView zoomScaleNormal="100" zoomScalePageLayoutView="120" workbookViewId="0">
      <selection activeCell="A10" sqref="A10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72" customWidth="1"/>
    <col min="3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19" t="s">
        <v>159</v>
      </c>
      <c r="B2" s="74"/>
      <c r="C2" s="7"/>
      <c r="D2" s="7"/>
      <c r="E2" s="7"/>
      <c r="F2" s="8"/>
      <c r="G2" s="9" t="s">
        <v>7</v>
      </c>
    </row>
    <row r="3" spans="1:7" ht="18" x14ac:dyDescent="0.25">
      <c r="A3" s="10"/>
      <c r="B3" s="75"/>
      <c r="C3" s="12"/>
      <c r="D3" s="12"/>
      <c r="E3" s="12"/>
      <c r="F3" s="12"/>
      <c r="G3" s="12"/>
    </row>
    <row r="4" spans="1:7" ht="22.5" x14ac:dyDescent="0.3">
      <c r="A4" s="13"/>
      <c r="B4" s="76"/>
      <c r="C4" s="120" t="s">
        <v>8</v>
      </c>
      <c r="D4" s="121"/>
      <c r="E4" s="17" t="s">
        <v>9</v>
      </c>
      <c r="F4" s="18"/>
      <c r="G4" s="19"/>
    </row>
    <row r="5" spans="1:7" ht="18.75" x14ac:dyDescent="0.3">
      <c r="A5" s="20"/>
      <c r="B5" s="21"/>
      <c r="C5" s="122" t="s">
        <v>11</v>
      </c>
      <c r="D5" s="123" t="s">
        <v>12</v>
      </c>
      <c r="E5" s="24"/>
      <c r="F5" s="25"/>
      <c r="G5" s="26"/>
    </row>
    <row r="6" spans="1:7" ht="20.25" x14ac:dyDescent="0.3">
      <c r="A6" s="27" t="s">
        <v>56</v>
      </c>
      <c r="B6" s="28" t="s">
        <v>57</v>
      </c>
      <c r="C6" s="79">
        <v>2019</v>
      </c>
      <c r="D6" s="417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289" t="s">
        <v>181</v>
      </c>
      <c r="B7" s="38">
        <v>1333</v>
      </c>
      <c r="C7" s="89">
        <v>500</v>
      </c>
      <c r="D7" s="371"/>
      <c r="E7" s="335"/>
      <c r="F7" s="267"/>
      <c r="G7" s="267"/>
    </row>
    <row r="8" spans="1:7" ht="15.75" x14ac:dyDescent="0.25">
      <c r="A8" s="265" t="s">
        <v>380</v>
      </c>
      <c r="B8" s="292">
        <v>1315</v>
      </c>
      <c r="C8" s="293"/>
      <c r="D8" s="371"/>
      <c r="E8" s="335"/>
      <c r="F8" s="267"/>
      <c r="G8" s="437">
        <v>10000</v>
      </c>
    </row>
    <row r="9" spans="1:7" ht="15.75" x14ac:dyDescent="0.25">
      <c r="A9" s="289" t="s">
        <v>443</v>
      </c>
      <c r="B9" s="38">
        <v>1338</v>
      </c>
      <c r="C9" s="89">
        <v>500</v>
      </c>
      <c r="D9" s="371"/>
      <c r="E9" s="335"/>
      <c r="F9" s="267"/>
      <c r="G9" s="267"/>
    </row>
    <row r="10" spans="1:7" ht="15.75" x14ac:dyDescent="0.25">
      <c r="A10" s="289" t="s">
        <v>228</v>
      </c>
      <c r="B10" s="38">
        <v>1342</v>
      </c>
      <c r="C10" s="89">
        <v>1500</v>
      </c>
      <c r="D10" s="371"/>
      <c r="E10" s="335"/>
      <c r="F10" s="267"/>
      <c r="G10" s="267"/>
    </row>
    <row r="11" spans="1:7" s="286" customFormat="1" ht="15.75" x14ac:dyDescent="0.25">
      <c r="A11" s="90" t="s">
        <v>219</v>
      </c>
      <c r="B11" s="51">
        <v>1372</v>
      </c>
      <c r="C11" s="383">
        <v>400</v>
      </c>
      <c r="D11" s="371">
        <v>400</v>
      </c>
      <c r="E11" s="335">
        <v>400</v>
      </c>
      <c r="F11" s="267"/>
      <c r="G11" s="267"/>
    </row>
    <row r="12" spans="1:7" s="421" customFormat="1" ht="15.75" x14ac:dyDescent="0.25">
      <c r="A12" s="90" t="s">
        <v>377</v>
      </c>
      <c r="B12" s="51">
        <v>1327</v>
      </c>
      <c r="C12" s="383">
        <v>850</v>
      </c>
      <c r="D12" s="371">
        <v>850</v>
      </c>
      <c r="E12" s="335">
        <v>1050</v>
      </c>
      <c r="F12" s="267">
        <v>1050</v>
      </c>
      <c r="G12" s="267"/>
    </row>
    <row r="13" spans="1:7" s="421" customFormat="1" ht="15.75" x14ac:dyDescent="0.25">
      <c r="A13" s="90" t="s">
        <v>248</v>
      </c>
      <c r="B13" s="51">
        <v>1333</v>
      </c>
      <c r="C13" s="383"/>
      <c r="D13" s="371">
        <v>300</v>
      </c>
      <c r="E13" s="335">
        <v>300</v>
      </c>
      <c r="F13" s="267">
        <v>300</v>
      </c>
      <c r="G13" s="437">
        <v>300</v>
      </c>
    </row>
    <row r="14" spans="1:7" s="421" customFormat="1" ht="15.75" x14ac:dyDescent="0.25">
      <c r="A14" s="90" t="s">
        <v>378</v>
      </c>
      <c r="B14" s="51">
        <v>1328</v>
      </c>
      <c r="C14" s="383"/>
      <c r="D14" s="371"/>
      <c r="E14" s="335"/>
      <c r="F14" s="267">
        <v>900</v>
      </c>
      <c r="G14" s="267"/>
    </row>
    <row r="15" spans="1:7" s="421" customFormat="1" ht="15.75" x14ac:dyDescent="0.25">
      <c r="A15" s="90" t="s">
        <v>379</v>
      </c>
      <c r="B15" s="51">
        <v>1329</v>
      </c>
      <c r="C15" s="383">
        <v>1000</v>
      </c>
      <c r="D15" s="485">
        <v>5000</v>
      </c>
      <c r="E15" s="486">
        <v>30000</v>
      </c>
      <c r="F15" s="267">
        <v>25000</v>
      </c>
      <c r="G15" s="267"/>
    </row>
    <row r="16" spans="1:7" s="421" customFormat="1" ht="15.75" x14ac:dyDescent="0.25">
      <c r="A16" s="90" t="s">
        <v>376</v>
      </c>
      <c r="B16" s="51">
        <v>1331</v>
      </c>
      <c r="C16" s="383"/>
      <c r="D16" s="371"/>
      <c r="E16" s="335"/>
      <c r="F16" s="267"/>
      <c r="G16" s="437">
        <v>6000</v>
      </c>
    </row>
    <row r="17" spans="1:7" s="421" customFormat="1" ht="15.75" x14ac:dyDescent="0.25">
      <c r="A17" s="90" t="s">
        <v>381</v>
      </c>
      <c r="B17" s="51">
        <v>1332</v>
      </c>
      <c r="C17" s="383"/>
      <c r="D17" s="371"/>
      <c r="E17" s="335"/>
      <c r="F17" s="267"/>
      <c r="G17" s="437">
        <v>2000</v>
      </c>
    </row>
    <row r="18" spans="1:7" ht="15.75" x14ac:dyDescent="0.25">
      <c r="A18" s="90"/>
      <c r="B18" s="51"/>
      <c r="C18" s="383"/>
      <c r="D18" s="371"/>
      <c r="E18" s="335"/>
      <c r="F18" s="267"/>
      <c r="G18" s="267"/>
    </row>
    <row r="19" spans="1:7" ht="15.75" x14ac:dyDescent="0.25">
      <c r="A19" s="289"/>
      <c r="B19" s="38"/>
      <c r="C19" s="89"/>
      <c r="D19" s="371"/>
      <c r="E19" s="335"/>
      <c r="F19" s="267"/>
      <c r="G19" s="267"/>
    </row>
    <row r="20" spans="1:7" s="286" customFormat="1" ht="15.75" x14ac:dyDescent="0.25">
      <c r="A20" s="289"/>
      <c r="B20" s="38"/>
      <c r="C20" s="89"/>
      <c r="D20" s="371"/>
      <c r="E20" s="63"/>
      <c r="F20" s="58"/>
      <c r="G20" s="58"/>
    </row>
    <row r="21" spans="1:7" s="286" customFormat="1" ht="15.75" x14ac:dyDescent="0.25">
      <c r="A21" s="289"/>
      <c r="B21" s="38"/>
      <c r="C21" s="89"/>
      <c r="D21" s="371"/>
      <c r="E21" s="63"/>
      <c r="F21" s="58"/>
      <c r="G21" s="58"/>
    </row>
    <row r="22" spans="1:7" s="286" customFormat="1" ht="15.75" x14ac:dyDescent="0.25">
      <c r="A22" s="289"/>
      <c r="B22" s="38"/>
      <c r="C22" s="89"/>
      <c r="D22" s="371"/>
      <c r="E22" s="63"/>
      <c r="F22" s="58"/>
      <c r="G22" s="58"/>
    </row>
    <row r="23" spans="1:7" s="286" customFormat="1" ht="15.75" x14ac:dyDescent="0.25">
      <c r="A23" s="289"/>
      <c r="B23" s="38"/>
      <c r="C23" s="89"/>
      <c r="D23" s="371"/>
      <c r="E23" s="63"/>
      <c r="F23" s="58"/>
      <c r="G23" s="58"/>
    </row>
    <row r="24" spans="1:7" s="286" customFormat="1" ht="15.75" x14ac:dyDescent="0.25">
      <c r="A24" s="289"/>
      <c r="B24" s="38"/>
      <c r="C24" s="89"/>
      <c r="D24" s="126"/>
      <c r="E24" s="63"/>
      <c r="F24" s="58"/>
      <c r="G24" s="58"/>
    </row>
    <row r="25" spans="1:7" s="286" customFormat="1" ht="15.75" x14ac:dyDescent="0.25">
      <c r="A25" s="289"/>
      <c r="B25" s="38"/>
      <c r="C25" s="89"/>
      <c r="D25" s="126"/>
      <c r="E25" s="63"/>
      <c r="F25" s="58"/>
      <c r="G25" s="58"/>
    </row>
    <row r="26" spans="1:7" s="286" customFormat="1" ht="15.75" x14ac:dyDescent="0.25">
      <c r="A26" s="289"/>
      <c r="B26" s="38"/>
      <c r="C26" s="89"/>
      <c r="D26" s="126"/>
      <c r="E26" s="63"/>
      <c r="F26" s="58"/>
      <c r="G26" s="58"/>
    </row>
    <row r="27" spans="1:7" s="286" customFormat="1" ht="15.75" x14ac:dyDescent="0.25">
      <c r="A27" s="289"/>
      <c r="B27" s="38"/>
      <c r="C27" s="89"/>
      <c r="D27" s="126"/>
      <c r="E27" s="63"/>
      <c r="F27" s="58"/>
      <c r="G27" s="58"/>
    </row>
    <row r="28" spans="1:7" s="286" customFormat="1" ht="15.75" x14ac:dyDescent="0.25">
      <c r="A28" s="289"/>
      <c r="B28" s="38"/>
      <c r="C28" s="89"/>
      <c r="D28" s="126"/>
      <c r="E28" s="63"/>
      <c r="F28" s="58"/>
      <c r="G28" s="58"/>
    </row>
    <row r="29" spans="1:7" ht="15.75" x14ac:dyDescent="0.25">
      <c r="A29" s="289"/>
      <c r="B29" s="38"/>
      <c r="C29" s="89"/>
      <c r="D29" s="126"/>
      <c r="E29" s="63"/>
      <c r="F29" s="58"/>
      <c r="G29" s="58"/>
    </row>
    <row r="30" spans="1:7" ht="15.75" x14ac:dyDescent="0.25">
      <c r="A30" s="289"/>
      <c r="B30" s="38"/>
      <c r="C30" s="89"/>
      <c r="D30" s="126"/>
      <c r="E30" s="63"/>
      <c r="F30" s="58"/>
      <c r="G30" s="58"/>
    </row>
    <row r="31" spans="1:7" ht="15.75" x14ac:dyDescent="0.25">
      <c r="A31" s="289"/>
      <c r="B31" s="38"/>
      <c r="C31" s="89"/>
      <c r="D31" s="126"/>
      <c r="E31" s="63"/>
      <c r="F31" s="58"/>
      <c r="G31" s="58"/>
    </row>
    <row r="32" spans="1:7" ht="15.75" x14ac:dyDescent="0.25">
      <c r="A32" s="289"/>
      <c r="B32" s="38"/>
      <c r="C32" s="89"/>
      <c r="D32" s="126"/>
      <c r="E32" s="63"/>
      <c r="F32" s="58"/>
      <c r="G32" s="58"/>
    </row>
    <row r="33" spans="1:7" ht="15.75" x14ac:dyDescent="0.25">
      <c r="A33" s="289"/>
      <c r="B33" s="38"/>
      <c r="C33" s="89"/>
      <c r="D33" s="126"/>
      <c r="E33" s="63"/>
      <c r="F33" s="58"/>
      <c r="G33" s="58"/>
    </row>
    <row r="34" spans="1:7" ht="15.75" x14ac:dyDescent="0.25">
      <c r="A34" s="289"/>
      <c r="B34" s="38"/>
      <c r="C34" s="89"/>
      <c r="D34" s="126"/>
      <c r="E34" s="63"/>
      <c r="F34" s="58"/>
      <c r="G34" s="58"/>
    </row>
    <row r="35" spans="1:7" ht="15.75" x14ac:dyDescent="0.25">
      <c r="A35" s="289"/>
      <c r="B35" s="38"/>
      <c r="C35" s="89"/>
      <c r="D35" s="126"/>
      <c r="E35" s="63"/>
      <c r="F35" s="58"/>
      <c r="G35" s="58"/>
    </row>
    <row r="36" spans="1:7" ht="15.75" x14ac:dyDescent="0.25">
      <c r="A36" s="289"/>
      <c r="B36" s="38"/>
      <c r="C36" s="89"/>
      <c r="D36" s="126"/>
      <c r="E36" s="63"/>
      <c r="F36" s="58"/>
      <c r="G36" s="58"/>
    </row>
    <row r="37" spans="1:7" ht="15.75" x14ac:dyDescent="0.25">
      <c r="A37" s="289"/>
      <c r="B37" s="38"/>
      <c r="C37" s="89"/>
      <c r="D37" s="126"/>
      <c r="E37" s="63"/>
      <c r="F37" s="58"/>
      <c r="G37" s="58"/>
    </row>
    <row r="38" spans="1:7" ht="15.75" x14ac:dyDescent="0.25">
      <c r="A38" s="289"/>
      <c r="B38" s="38"/>
      <c r="C38" s="89"/>
      <c r="D38" s="126"/>
      <c r="E38" s="63"/>
      <c r="F38" s="58"/>
      <c r="G38" s="58"/>
    </row>
    <row r="39" spans="1:7" s="286" customFormat="1" ht="15.75" x14ac:dyDescent="0.25">
      <c r="A39" s="289"/>
      <c r="B39" s="38"/>
      <c r="C39" s="89"/>
      <c r="D39" s="126"/>
      <c r="E39" s="63"/>
      <c r="F39" s="402"/>
      <c r="G39" s="402"/>
    </row>
    <row r="40" spans="1:7" s="286" customFormat="1" ht="15.75" x14ac:dyDescent="0.25">
      <c r="A40" s="289"/>
      <c r="B40" s="38"/>
      <c r="C40" s="89"/>
      <c r="D40" s="126"/>
      <c r="E40" s="63"/>
      <c r="F40" s="402"/>
      <c r="G40" s="402"/>
    </row>
    <row r="41" spans="1:7" s="286" customFormat="1" ht="15.75" x14ac:dyDescent="0.25">
      <c r="A41" s="289"/>
      <c r="B41" s="38"/>
      <c r="C41" s="89"/>
      <c r="D41" s="126"/>
      <c r="E41" s="63"/>
      <c r="F41" s="402"/>
      <c r="G41" s="402"/>
    </row>
    <row r="42" spans="1:7" ht="15.75" x14ac:dyDescent="0.25">
      <c r="A42" s="289"/>
      <c r="B42" s="38"/>
      <c r="C42" s="89"/>
      <c r="D42" s="126"/>
      <c r="E42" s="63"/>
      <c r="F42" s="58"/>
      <c r="G42" s="58"/>
    </row>
    <row r="43" spans="1:7" ht="15.75" x14ac:dyDescent="0.25">
      <c r="A43" s="289"/>
      <c r="B43" s="38"/>
      <c r="C43" s="89"/>
      <c r="D43" s="126"/>
      <c r="E43" s="63"/>
      <c r="F43" s="58"/>
      <c r="G43" s="58"/>
    </row>
    <row r="44" spans="1:7" ht="15.75" x14ac:dyDescent="0.25">
      <c r="A44" s="289"/>
      <c r="B44" s="38"/>
      <c r="C44" s="89"/>
      <c r="D44" s="126"/>
      <c r="E44" s="63"/>
      <c r="F44" s="58"/>
      <c r="G44" s="58"/>
    </row>
    <row r="45" spans="1:7" s="286" customFormat="1" ht="15.75" x14ac:dyDescent="0.25">
      <c r="A45" s="289"/>
      <c r="B45" s="38"/>
      <c r="C45" s="89"/>
      <c r="D45" s="126"/>
      <c r="E45" s="63"/>
      <c r="F45" s="402"/>
      <c r="G45" s="402"/>
    </row>
    <row r="46" spans="1:7" s="286" customFormat="1" ht="15.75" x14ac:dyDescent="0.25">
      <c r="A46" s="289"/>
      <c r="B46" s="38"/>
      <c r="C46" s="89"/>
      <c r="D46" s="126"/>
      <c r="E46" s="63"/>
      <c r="F46" s="402"/>
      <c r="G46" s="402"/>
    </row>
    <row r="47" spans="1:7" s="286" customFormat="1" ht="15.75" x14ac:dyDescent="0.25">
      <c r="A47" s="289"/>
      <c r="B47" s="38"/>
      <c r="C47" s="89"/>
      <c r="D47" s="126"/>
      <c r="E47" s="63"/>
      <c r="F47" s="402"/>
      <c r="G47" s="402"/>
    </row>
    <row r="48" spans="1:7" ht="15.75" x14ac:dyDescent="0.25">
      <c r="A48" s="289"/>
      <c r="B48" s="38"/>
      <c r="C48" s="89"/>
      <c r="D48" s="126"/>
      <c r="E48" s="63"/>
      <c r="F48" s="58"/>
      <c r="G48" s="58"/>
    </row>
    <row r="49" spans="1:7" ht="15.75" x14ac:dyDescent="0.25">
      <c r="A49" s="289"/>
      <c r="B49" s="38"/>
      <c r="C49" s="89"/>
      <c r="D49" s="126"/>
      <c r="E49" s="63"/>
      <c r="F49" s="58"/>
      <c r="G49" s="58"/>
    </row>
    <row r="50" spans="1:7" ht="15.75" x14ac:dyDescent="0.25">
      <c r="A50" s="289"/>
      <c r="B50" s="38"/>
      <c r="C50" s="89"/>
      <c r="D50" s="126"/>
      <c r="E50" s="63"/>
      <c r="F50" s="58"/>
      <c r="G50" s="58"/>
    </row>
    <row r="51" spans="1:7" ht="15.75" x14ac:dyDescent="0.25">
      <c r="A51" s="289"/>
      <c r="B51" s="38"/>
      <c r="C51" s="89"/>
      <c r="D51" s="126"/>
      <c r="E51" s="63"/>
      <c r="F51" s="58"/>
      <c r="G51" s="58"/>
    </row>
    <row r="52" spans="1:7" ht="15.75" x14ac:dyDescent="0.25">
      <c r="A52" s="289"/>
      <c r="B52" s="38"/>
      <c r="C52" s="89"/>
      <c r="D52" s="126"/>
      <c r="E52" s="63"/>
      <c r="F52" s="58"/>
      <c r="G52" s="58"/>
    </row>
    <row r="53" spans="1:7" ht="15.75" x14ac:dyDescent="0.25">
      <c r="A53" s="289"/>
      <c r="B53" s="38"/>
      <c r="C53" s="89"/>
      <c r="D53" s="126"/>
      <c r="E53" s="63"/>
      <c r="F53" s="58"/>
      <c r="G53" s="58"/>
    </row>
    <row r="54" spans="1:7" ht="15.75" x14ac:dyDescent="0.25">
      <c r="A54" s="289"/>
      <c r="B54" s="38"/>
      <c r="C54" s="89"/>
      <c r="D54" s="126"/>
      <c r="E54" s="63"/>
      <c r="F54" s="58"/>
      <c r="G54" s="58"/>
    </row>
    <row r="55" spans="1:7" ht="15.75" x14ac:dyDescent="0.25">
      <c r="A55" s="289"/>
      <c r="B55" s="38"/>
      <c r="C55" s="89"/>
      <c r="D55" s="126"/>
      <c r="E55" s="63"/>
      <c r="F55" s="58"/>
      <c r="G55" s="58"/>
    </row>
    <row r="56" spans="1:7" ht="15.75" x14ac:dyDescent="0.25">
      <c r="A56" s="93"/>
      <c r="B56" s="94"/>
      <c r="C56" s="95"/>
      <c r="D56" s="117"/>
      <c r="E56" s="60"/>
      <c r="F56" s="60"/>
      <c r="G56" s="97"/>
    </row>
    <row r="57" spans="1:7" ht="15.75" x14ac:dyDescent="0.25">
      <c r="A57" s="59"/>
      <c r="B57" s="287"/>
      <c r="C57" s="95"/>
      <c r="D57" s="117"/>
      <c r="E57" s="60"/>
      <c r="F57" s="60"/>
      <c r="G57" s="97"/>
    </row>
    <row r="58" spans="1:7" ht="15.75" x14ac:dyDescent="0.25">
      <c r="A58" s="384" t="s">
        <v>48</v>
      </c>
      <c r="B58" s="385"/>
      <c r="C58" s="386">
        <f>SUM(C7:C57)</f>
        <v>4750</v>
      </c>
      <c r="D58" s="388">
        <f>SUM(D7:D57)</f>
        <v>6550</v>
      </c>
      <c r="E58" s="389">
        <f>SUM(E7:E57)</f>
        <v>31750</v>
      </c>
      <c r="F58" s="389">
        <f>SUM(F7:F57)</f>
        <v>27250</v>
      </c>
      <c r="G58" s="387">
        <f>SUM(G7:G57)</f>
        <v>18300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6" firstPageNumber="0" fitToHeight="0" orientation="portrait" r:id="rId1"/>
  <headerFooter alignWithMargins="0"/>
  <ignoredErrors>
    <ignoredError sqref="C58:G5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8"/>
  <sheetViews>
    <sheetView topLeftCell="A21" zoomScaleNormal="100" workbookViewId="0">
      <selection activeCell="M47" sqref="M47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72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19" t="s">
        <v>74</v>
      </c>
      <c r="B2" s="74"/>
      <c r="C2" s="7"/>
      <c r="D2" s="7"/>
      <c r="E2" s="7"/>
      <c r="F2" s="8"/>
      <c r="G2" s="9" t="s">
        <v>7</v>
      </c>
    </row>
    <row r="3" spans="1:7" ht="18" x14ac:dyDescent="0.25">
      <c r="A3" s="10"/>
      <c r="B3" s="75"/>
      <c r="C3" s="12"/>
      <c r="D3" s="12"/>
      <c r="E3" s="12"/>
      <c r="F3" s="12"/>
      <c r="G3" s="12"/>
    </row>
    <row r="4" spans="1:7" ht="22.5" x14ac:dyDescent="0.3">
      <c r="A4" s="13"/>
      <c r="B4" s="76"/>
      <c r="C4" s="120" t="s">
        <v>8</v>
      </c>
      <c r="D4" s="121"/>
      <c r="E4" s="17" t="s">
        <v>9</v>
      </c>
      <c r="F4" s="18"/>
      <c r="G4" s="19"/>
    </row>
    <row r="5" spans="1:7" ht="18.75" x14ac:dyDescent="0.3">
      <c r="A5" s="20"/>
      <c r="B5" s="21"/>
      <c r="C5" s="122" t="s">
        <v>11</v>
      </c>
      <c r="D5" s="123" t="s">
        <v>12</v>
      </c>
      <c r="E5" s="24"/>
      <c r="F5" s="25"/>
      <c r="G5" s="26"/>
    </row>
    <row r="6" spans="1:7" ht="20.25" x14ac:dyDescent="0.3">
      <c r="A6" s="27" t="s">
        <v>56</v>
      </c>
      <c r="B6" s="28" t="s">
        <v>57</v>
      </c>
      <c r="C6" s="79">
        <v>2019</v>
      </c>
      <c r="D6" s="417">
        <v>2020</v>
      </c>
      <c r="E6" s="31">
        <v>2021</v>
      </c>
      <c r="F6" s="32">
        <v>2022</v>
      </c>
      <c r="G6" s="32">
        <v>2023</v>
      </c>
    </row>
    <row r="7" spans="1:7" s="110" customFormat="1" ht="15.75" x14ac:dyDescent="0.25">
      <c r="A7" s="54" t="s">
        <v>53</v>
      </c>
      <c r="B7" s="472"/>
      <c r="C7" s="86"/>
      <c r="D7" s="490"/>
      <c r="E7" s="347"/>
      <c r="F7" s="347"/>
      <c r="G7" s="347"/>
    </row>
    <row r="8" spans="1:7" s="110" customFormat="1" ht="15.75" x14ac:dyDescent="0.25">
      <c r="A8" s="90" t="s">
        <v>400</v>
      </c>
      <c r="B8" s="51">
        <v>1647</v>
      </c>
      <c r="C8" s="52">
        <v>1000</v>
      </c>
      <c r="D8" s="305">
        <v>2000</v>
      </c>
      <c r="E8" s="267">
        <v>2000</v>
      </c>
      <c r="F8" s="267">
        <v>2000</v>
      </c>
      <c r="G8" s="437">
        <v>2300</v>
      </c>
    </row>
    <row r="9" spans="1:7" s="110" customFormat="1" ht="15.75" x14ac:dyDescent="0.25">
      <c r="A9" s="90" t="s">
        <v>403</v>
      </c>
      <c r="B9" s="51">
        <v>160402</v>
      </c>
      <c r="C9" s="52">
        <f>30000-15800</f>
        <v>14200</v>
      </c>
      <c r="D9" s="469">
        <f>17000+37000+15800</f>
        <v>69800</v>
      </c>
      <c r="E9" s="437">
        <f>25000-20000</f>
        <v>5000</v>
      </c>
      <c r="F9" s="267"/>
      <c r="G9" s="353"/>
    </row>
    <row r="10" spans="1:7" s="110" customFormat="1" ht="15.75" x14ac:dyDescent="0.25">
      <c r="A10" s="90" t="s">
        <v>404</v>
      </c>
      <c r="B10" s="51">
        <v>1605</v>
      </c>
      <c r="C10" s="52">
        <v>2000</v>
      </c>
      <c r="D10" s="305">
        <v>2000</v>
      </c>
      <c r="E10" s="267">
        <v>2000</v>
      </c>
      <c r="F10" s="437"/>
      <c r="G10" s="447"/>
    </row>
    <row r="11" spans="1:7" s="110" customFormat="1" ht="15.75" x14ac:dyDescent="0.25">
      <c r="A11" s="90" t="s">
        <v>182</v>
      </c>
      <c r="B11" s="239">
        <v>1905</v>
      </c>
      <c r="C11" s="394"/>
      <c r="D11" s="361"/>
      <c r="E11" s="353"/>
      <c r="F11" s="353"/>
      <c r="G11" s="353"/>
    </row>
    <row r="12" spans="1:7" s="110" customFormat="1" ht="15.75" x14ac:dyDescent="0.25">
      <c r="A12" s="90" t="s">
        <v>183</v>
      </c>
      <c r="B12" s="239">
        <v>1906</v>
      </c>
      <c r="C12" s="394"/>
      <c r="D12" s="492"/>
      <c r="E12" s="353"/>
      <c r="F12" s="353"/>
      <c r="G12" s="353"/>
    </row>
    <row r="13" spans="1:7" s="110" customFormat="1" ht="15.75" x14ac:dyDescent="0.25">
      <c r="A13" s="90" t="s">
        <v>184</v>
      </c>
      <c r="B13" s="239">
        <v>1907</v>
      </c>
      <c r="C13" s="394"/>
      <c r="D13" s="361"/>
      <c r="E13" s="353"/>
      <c r="F13" s="353"/>
      <c r="G13" s="353"/>
    </row>
    <row r="14" spans="1:7" s="422" customFormat="1" ht="15.75" x14ac:dyDescent="0.25">
      <c r="A14" s="259" t="s">
        <v>402</v>
      </c>
      <c r="B14" s="239">
        <v>160403</v>
      </c>
      <c r="C14" s="394">
        <v>5000</v>
      </c>
      <c r="D14" s="457">
        <f>40000-10000</f>
        <v>30000</v>
      </c>
      <c r="E14" s="352">
        <v>55000</v>
      </c>
      <c r="F14" s="447">
        <v>16000</v>
      </c>
      <c r="G14" s="353"/>
    </row>
    <row r="15" spans="1:7" s="422" customFormat="1" ht="15.75" x14ac:dyDescent="0.25">
      <c r="A15" s="259" t="s">
        <v>398</v>
      </c>
      <c r="B15" s="239">
        <v>1611</v>
      </c>
      <c r="C15" s="394"/>
      <c r="D15" s="361"/>
      <c r="E15" s="352"/>
      <c r="F15" s="353">
        <v>7400</v>
      </c>
      <c r="G15" s="353"/>
    </row>
    <row r="16" spans="1:7" s="110" customFormat="1" ht="15.75" x14ac:dyDescent="0.25">
      <c r="A16" s="259" t="s">
        <v>198</v>
      </c>
      <c r="B16" s="239">
        <v>1667</v>
      </c>
      <c r="C16" s="394"/>
      <c r="D16" s="361">
        <v>4000</v>
      </c>
      <c r="E16" s="352"/>
      <c r="F16" s="353"/>
      <c r="G16" s="353"/>
    </row>
    <row r="17" spans="1:7" s="110" customFormat="1" ht="15.75" x14ac:dyDescent="0.25">
      <c r="A17" s="259" t="s">
        <v>191</v>
      </c>
      <c r="B17" s="239">
        <v>1666</v>
      </c>
      <c r="C17" s="394"/>
      <c r="D17" s="361"/>
      <c r="E17" s="352"/>
      <c r="F17" s="353"/>
      <c r="G17" s="353"/>
    </row>
    <row r="18" spans="1:7" ht="15.75" x14ac:dyDescent="0.25">
      <c r="A18" s="44" t="s">
        <v>75</v>
      </c>
      <c r="B18" s="448"/>
      <c r="C18" s="132">
        <f>SUM(C7:C17)</f>
        <v>22200</v>
      </c>
      <c r="D18" s="303">
        <f>SUM(D7:D17)</f>
        <v>107800</v>
      </c>
      <c r="E18" s="309">
        <f>SUM(E7:E17)</f>
        <v>64000</v>
      </c>
      <c r="F18" s="334">
        <f>SUM(F7:F17)</f>
        <v>25400</v>
      </c>
      <c r="G18" s="334">
        <f>SUM(G7:G17)</f>
        <v>2300</v>
      </c>
    </row>
    <row r="19" spans="1:7" ht="15.75" x14ac:dyDescent="0.25">
      <c r="A19" s="47"/>
      <c r="B19" s="438"/>
      <c r="C19" s="104"/>
      <c r="D19" s="302"/>
      <c r="E19" s="307"/>
      <c r="F19" s="307"/>
      <c r="G19" s="307"/>
    </row>
    <row r="20" spans="1:7" ht="15.75" x14ac:dyDescent="0.25">
      <c r="A20" s="487" t="s">
        <v>54</v>
      </c>
      <c r="B20" s="488"/>
      <c r="C20" s="489"/>
      <c r="D20" s="491"/>
      <c r="E20" s="357"/>
      <c r="F20" s="357"/>
      <c r="G20" s="357"/>
    </row>
    <row r="21" spans="1:7" ht="15.75" x14ac:dyDescent="0.25">
      <c r="A21" s="90" t="s">
        <v>76</v>
      </c>
      <c r="B21" s="51">
        <v>1697</v>
      </c>
      <c r="C21" s="52">
        <v>1000</v>
      </c>
      <c r="D21" s="305">
        <v>2500</v>
      </c>
      <c r="E21" s="267">
        <v>2500</v>
      </c>
      <c r="F21" s="267"/>
      <c r="G21" s="267"/>
    </row>
    <row r="22" spans="1:7" s="286" customFormat="1" ht="15.75" x14ac:dyDescent="0.25">
      <c r="A22" s="90" t="s">
        <v>399</v>
      </c>
      <c r="B22" s="239">
        <v>1671</v>
      </c>
      <c r="C22" s="394"/>
      <c r="D22" s="305"/>
      <c r="E22" s="353"/>
      <c r="F22" s="353"/>
      <c r="G22" s="419">
        <v>2000</v>
      </c>
    </row>
    <row r="23" spans="1:7" ht="15.75" x14ac:dyDescent="0.25">
      <c r="A23" s="90" t="s">
        <v>182</v>
      </c>
      <c r="B23" s="239">
        <v>1905</v>
      </c>
      <c r="C23" s="394"/>
      <c r="D23" s="305"/>
      <c r="E23" s="353"/>
      <c r="F23" s="353"/>
      <c r="G23" s="267"/>
    </row>
    <row r="24" spans="1:7" ht="15.75" x14ac:dyDescent="0.25">
      <c r="A24" s="90" t="s">
        <v>183</v>
      </c>
      <c r="B24" s="239">
        <v>1906</v>
      </c>
      <c r="C24" s="394"/>
      <c r="D24" s="305"/>
      <c r="E24" s="353"/>
      <c r="F24" s="353"/>
      <c r="G24" s="267"/>
    </row>
    <row r="25" spans="1:7" ht="15.75" x14ac:dyDescent="0.25">
      <c r="A25" s="90" t="s">
        <v>184</v>
      </c>
      <c r="B25" s="239">
        <v>1907</v>
      </c>
      <c r="C25" s="394"/>
      <c r="D25" s="305"/>
      <c r="E25" s="353"/>
      <c r="F25" s="353"/>
      <c r="G25" s="267"/>
    </row>
    <row r="26" spans="1:7" ht="15.75" x14ac:dyDescent="0.25">
      <c r="A26" s="90" t="s">
        <v>401</v>
      </c>
      <c r="B26" s="51">
        <v>1650</v>
      </c>
      <c r="C26" s="52">
        <v>1000</v>
      </c>
      <c r="D26" s="305">
        <v>1000</v>
      </c>
      <c r="E26" s="267">
        <v>1000</v>
      </c>
      <c r="F26" s="267"/>
      <c r="G26" s="437">
        <v>1100</v>
      </c>
    </row>
    <row r="27" spans="1:7" ht="15.75" x14ac:dyDescent="0.25">
      <c r="A27" s="90" t="s">
        <v>172</v>
      </c>
      <c r="B27" s="51">
        <v>1653</v>
      </c>
      <c r="C27" s="52"/>
      <c r="D27" s="305"/>
      <c r="E27" s="267">
        <v>1000</v>
      </c>
      <c r="F27" s="267"/>
      <c r="G27" s="267"/>
    </row>
    <row r="28" spans="1:7" s="286" customFormat="1" ht="15.75" x14ac:dyDescent="0.25">
      <c r="A28" s="259" t="s">
        <v>198</v>
      </c>
      <c r="B28" s="239">
        <v>1667</v>
      </c>
      <c r="C28" s="394"/>
      <c r="D28" s="361">
        <v>5600</v>
      </c>
      <c r="E28" s="267"/>
      <c r="F28" s="267"/>
      <c r="G28" s="267"/>
    </row>
    <row r="29" spans="1:7" s="421" customFormat="1" ht="15.75" x14ac:dyDescent="0.25">
      <c r="A29" s="259" t="s">
        <v>396</v>
      </c>
      <c r="B29" s="239">
        <v>1667</v>
      </c>
      <c r="C29" s="394">
        <v>1800</v>
      </c>
      <c r="D29" s="361">
        <v>-1800</v>
      </c>
      <c r="E29" s="401"/>
      <c r="F29" s="401"/>
      <c r="G29" s="401"/>
    </row>
    <row r="30" spans="1:7" s="421" customFormat="1" ht="15.75" x14ac:dyDescent="0.25">
      <c r="A30" s="259" t="s">
        <v>413</v>
      </c>
      <c r="B30" s="239">
        <v>1672</v>
      </c>
      <c r="C30" s="394"/>
      <c r="D30" s="457">
        <v>1100</v>
      </c>
      <c r="E30" s="419"/>
      <c r="F30" s="419"/>
      <c r="G30" s="419"/>
    </row>
    <row r="31" spans="1:7" s="421" customFormat="1" ht="15.75" x14ac:dyDescent="0.25">
      <c r="A31" s="259" t="s">
        <v>412</v>
      </c>
      <c r="B31" s="239">
        <v>1673</v>
      </c>
      <c r="C31" s="394"/>
      <c r="D31" s="457">
        <v>5200</v>
      </c>
      <c r="E31" s="419"/>
      <c r="F31" s="419"/>
      <c r="G31" s="419"/>
    </row>
    <row r="32" spans="1:7" s="421" customFormat="1" ht="15.75" x14ac:dyDescent="0.25">
      <c r="A32" s="259" t="s">
        <v>410</v>
      </c>
      <c r="B32" s="239">
        <v>1674</v>
      </c>
      <c r="C32" s="394"/>
      <c r="D32" s="457"/>
      <c r="E32" s="419">
        <v>2100</v>
      </c>
      <c r="F32" s="419"/>
      <c r="G32" s="419"/>
    </row>
    <row r="33" spans="1:11" s="421" customFormat="1" ht="15.75" x14ac:dyDescent="0.25">
      <c r="A33" s="259" t="s">
        <v>411</v>
      </c>
      <c r="B33" s="239">
        <v>1675</v>
      </c>
      <c r="C33" s="394"/>
      <c r="D33" s="457"/>
      <c r="E33" s="419">
        <v>1600</v>
      </c>
      <c r="F33" s="419"/>
      <c r="G33" s="419">
        <v>3300</v>
      </c>
    </row>
    <row r="34" spans="1:11" s="421" customFormat="1" ht="15.75" x14ac:dyDescent="0.25">
      <c r="A34" s="259" t="s">
        <v>397</v>
      </c>
      <c r="B34" s="239">
        <v>1655</v>
      </c>
      <c r="C34" s="394"/>
      <c r="D34" s="361"/>
      <c r="E34" s="401"/>
      <c r="F34" s="401">
        <v>2000</v>
      </c>
      <c r="G34" s="401"/>
    </row>
    <row r="35" spans="1:11" s="110" customFormat="1" ht="15.75" x14ac:dyDescent="0.25">
      <c r="A35" s="90" t="s">
        <v>84</v>
      </c>
      <c r="B35" s="51">
        <v>1657</v>
      </c>
      <c r="C35" s="52">
        <v>2000</v>
      </c>
      <c r="D35" s="305"/>
      <c r="E35" s="267"/>
      <c r="F35" s="437">
        <v>3000</v>
      </c>
      <c r="G35" s="437">
        <v>3000</v>
      </c>
    </row>
    <row r="36" spans="1:11" ht="15.75" x14ac:dyDescent="0.25">
      <c r="A36" s="44" t="s">
        <v>77</v>
      </c>
      <c r="B36" s="448"/>
      <c r="C36" s="132">
        <f>SUM(C20:C35)</f>
        <v>5800</v>
      </c>
      <c r="D36" s="303">
        <f>SUM(D20:D35)</f>
        <v>13600</v>
      </c>
      <c r="E36" s="309">
        <f>SUM(E20:E35)</f>
        <v>8200</v>
      </c>
      <c r="F36" s="309">
        <f>SUM(F20:F35)</f>
        <v>5000</v>
      </c>
      <c r="G36" s="334">
        <f>SUM(G20:G35)</f>
        <v>9400</v>
      </c>
    </row>
    <row r="37" spans="1:11" ht="15.75" x14ac:dyDescent="0.25">
      <c r="A37" s="62"/>
      <c r="B37" s="48"/>
      <c r="C37" s="35"/>
      <c r="D37" s="302"/>
      <c r="E37" s="306"/>
      <c r="F37" s="307"/>
      <c r="G37" s="307"/>
    </row>
    <row r="38" spans="1:11" ht="15.75" x14ac:dyDescent="0.25">
      <c r="A38" s="289"/>
      <c r="B38" s="38"/>
      <c r="C38" s="149"/>
      <c r="D38" s="371"/>
      <c r="E38" s="335"/>
      <c r="F38" s="267"/>
      <c r="G38" s="267"/>
      <c r="H38" s="65"/>
      <c r="I38" s="65"/>
      <c r="J38" s="65"/>
      <c r="K38" s="65"/>
    </row>
    <row r="39" spans="1:11" ht="15.75" x14ac:dyDescent="0.25">
      <c r="A39" s="289"/>
      <c r="B39" s="38"/>
      <c r="C39" s="149"/>
      <c r="D39" s="371"/>
      <c r="E39" s="335"/>
      <c r="F39" s="267"/>
      <c r="G39" s="267"/>
      <c r="H39" s="65"/>
      <c r="I39" s="65"/>
      <c r="J39" s="65"/>
      <c r="K39" s="65"/>
    </row>
    <row r="40" spans="1:11" ht="15.75" x14ac:dyDescent="0.25">
      <c r="A40" s="289"/>
      <c r="B40" s="38"/>
      <c r="C40" s="149"/>
      <c r="D40" s="371"/>
      <c r="E40" s="335"/>
      <c r="F40" s="267"/>
      <c r="G40" s="267"/>
      <c r="H40" s="65"/>
      <c r="I40" s="65"/>
      <c r="J40" s="65"/>
      <c r="K40" s="65"/>
    </row>
    <row r="41" spans="1:11" ht="15.75" x14ac:dyDescent="0.25">
      <c r="A41" s="289"/>
      <c r="B41" s="38"/>
      <c r="C41" s="149"/>
      <c r="D41" s="371"/>
      <c r="E41" s="335"/>
      <c r="F41" s="267"/>
      <c r="G41" s="267"/>
      <c r="H41" s="65"/>
      <c r="I41" s="65"/>
      <c r="J41" s="65"/>
      <c r="K41" s="65"/>
    </row>
    <row r="42" spans="1:11" s="286" customFormat="1" ht="15.75" x14ac:dyDescent="0.25">
      <c r="A42" s="289"/>
      <c r="B42" s="38"/>
      <c r="C42" s="149"/>
      <c r="D42" s="371"/>
      <c r="E42" s="335"/>
      <c r="F42" s="401"/>
      <c r="G42" s="401"/>
      <c r="H42" s="65"/>
      <c r="I42" s="65"/>
      <c r="J42" s="65"/>
      <c r="K42" s="65"/>
    </row>
    <row r="43" spans="1:11" s="286" customFormat="1" ht="15.75" x14ac:dyDescent="0.25">
      <c r="A43" s="289"/>
      <c r="B43" s="38"/>
      <c r="C43" s="149"/>
      <c r="D43" s="371"/>
      <c r="E43" s="335"/>
      <c r="F43" s="401"/>
      <c r="G43" s="401"/>
      <c r="H43" s="65"/>
      <c r="I43" s="65"/>
      <c r="J43" s="65"/>
      <c r="K43" s="65"/>
    </row>
    <row r="44" spans="1:11" s="286" customFormat="1" ht="15.75" x14ac:dyDescent="0.25">
      <c r="A44" s="289"/>
      <c r="B44" s="38"/>
      <c r="C44" s="149"/>
      <c r="D44" s="371"/>
      <c r="E44" s="335"/>
      <c r="F44" s="401"/>
      <c r="G44" s="401"/>
      <c r="H44" s="65"/>
      <c r="I44" s="65"/>
      <c r="J44" s="65"/>
      <c r="K44" s="65"/>
    </row>
    <row r="45" spans="1:11" s="286" customFormat="1" ht="15.75" x14ac:dyDescent="0.25">
      <c r="A45" s="289"/>
      <c r="B45" s="38"/>
      <c r="C45" s="149"/>
      <c r="D45" s="371"/>
      <c r="E45" s="335"/>
      <c r="F45" s="401"/>
      <c r="G45" s="401"/>
      <c r="H45" s="65"/>
      <c r="I45" s="65"/>
      <c r="J45" s="65"/>
      <c r="K45" s="65"/>
    </row>
    <row r="46" spans="1:11" s="286" customFormat="1" ht="15.75" x14ac:dyDescent="0.25">
      <c r="A46" s="289"/>
      <c r="B46" s="38"/>
      <c r="C46" s="149"/>
      <c r="D46" s="371"/>
      <c r="E46" s="335"/>
      <c r="F46" s="401"/>
      <c r="G46" s="401"/>
      <c r="H46" s="65"/>
      <c r="I46" s="65"/>
      <c r="J46" s="65"/>
      <c r="K46" s="65"/>
    </row>
    <row r="47" spans="1:11" s="286" customFormat="1" ht="15.75" x14ac:dyDescent="0.25">
      <c r="A47" s="289"/>
      <c r="B47" s="38"/>
      <c r="C47" s="149"/>
      <c r="D47" s="371"/>
      <c r="E47" s="335"/>
      <c r="F47" s="401"/>
      <c r="G47" s="401"/>
      <c r="H47" s="65"/>
      <c r="I47" s="65"/>
      <c r="J47" s="65"/>
      <c r="K47" s="65"/>
    </row>
    <row r="48" spans="1:11" ht="15.75" x14ac:dyDescent="0.25">
      <c r="A48" s="289"/>
      <c r="B48" s="38"/>
      <c r="C48" s="149"/>
      <c r="D48" s="371"/>
      <c r="E48" s="335"/>
      <c r="F48" s="267"/>
      <c r="G48" s="267"/>
      <c r="H48" s="65"/>
      <c r="I48" s="65"/>
      <c r="J48" s="65"/>
      <c r="K48" s="65"/>
    </row>
    <row r="49" spans="1:11" ht="15.75" x14ac:dyDescent="0.25">
      <c r="A49" s="289"/>
      <c r="B49" s="38"/>
      <c r="C49" s="149"/>
      <c r="D49" s="371"/>
      <c r="E49" s="335"/>
      <c r="F49" s="267"/>
      <c r="G49" s="267"/>
      <c r="H49" s="65"/>
      <c r="I49" s="65"/>
      <c r="J49" s="65"/>
      <c r="K49" s="65"/>
    </row>
    <row r="50" spans="1:11" ht="15.75" x14ac:dyDescent="0.25">
      <c r="A50" s="289"/>
      <c r="B50" s="38"/>
      <c r="C50" s="149"/>
      <c r="D50" s="371"/>
      <c r="E50" s="335"/>
      <c r="F50" s="267"/>
      <c r="G50" s="267"/>
      <c r="H50" s="65"/>
      <c r="I50" s="65"/>
      <c r="J50" s="65"/>
      <c r="K50" s="65"/>
    </row>
    <row r="51" spans="1:11" ht="15.75" x14ac:dyDescent="0.25">
      <c r="A51" s="289"/>
      <c r="B51" s="38"/>
      <c r="C51" s="149"/>
      <c r="D51" s="371"/>
      <c r="E51" s="63"/>
      <c r="F51" s="58"/>
      <c r="G51" s="58"/>
      <c r="H51" s="65"/>
      <c r="I51" s="65"/>
      <c r="J51" s="65"/>
      <c r="K51" s="65"/>
    </row>
    <row r="52" spans="1:11" s="286" customFormat="1" ht="15.75" x14ac:dyDescent="0.25">
      <c r="A52" s="289"/>
      <c r="B52" s="38"/>
      <c r="C52" s="149"/>
      <c r="D52" s="126"/>
      <c r="E52" s="63"/>
      <c r="F52" s="402"/>
      <c r="G52" s="402"/>
      <c r="H52" s="65"/>
      <c r="I52" s="65"/>
      <c r="J52" s="65"/>
      <c r="K52" s="65"/>
    </row>
    <row r="53" spans="1:11" s="286" customFormat="1" ht="15.75" x14ac:dyDescent="0.25">
      <c r="A53" s="289"/>
      <c r="B53" s="38"/>
      <c r="C53" s="149"/>
      <c r="D53" s="126"/>
      <c r="E53" s="63"/>
      <c r="F53" s="402"/>
      <c r="G53" s="402"/>
      <c r="H53" s="65"/>
      <c r="I53" s="65"/>
      <c r="J53" s="65"/>
      <c r="K53" s="65"/>
    </row>
    <row r="54" spans="1:11" ht="15.75" x14ac:dyDescent="0.25">
      <c r="A54" s="289"/>
      <c r="B54" s="38"/>
      <c r="C54" s="89"/>
      <c r="D54" s="126"/>
      <c r="E54" s="63"/>
      <c r="F54" s="58"/>
      <c r="G54" s="58"/>
    </row>
    <row r="55" spans="1:11" ht="15.75" x14ac:dyDescent="0.25">
      <c r="A55" s="289"/>
      <c r="B55" s="38"/>
      <c r="C55" s="89"/>
      <c r="D55" s="126"/>
      <c r="E55" s="63"/>
      <c r="F55" s="58"/>
      <c r="G55" s="58"/>
    </row>
    <row r="56" spans="1:11" ht="15.75" x14ac:dyDescent="0.25">
      <c r="A56" s="93"/>
      <c r="B56" s="94"/>
      <c r="C56" s="95"/>
      <c r="D56" s="117"/>
      <c r="E56" s="60"/>
      <c r="F56" s="60"/>
      <c r="G56" s="97"/>
    </row>
    <row r="57" spans="1:11" ht="16.5" thickBot="1" x14ac:dyDescent="0.3">
      <c r="A57" s="59"/>
      <c r="B57" s="287"/>
      <c r="C57" s="95"/>
      <c r="D57" s="117"/>
      <c r="E57" s="60"/>
      <c r="F57" s="60"/>
      <c r="G57" s="97"/>
    </row>
    <row r="58" spans="1:11" ht="16.5" thickBot="1" x14ac:dyDescent="0.3">
      <c r="A58" s="384" t="s">
        <v>48</v>
      </c>
      <c r="B58" s="385"/>
      <c r="C58" s="386">
        <f>+C18+C36</f>
        <v>28000</v>
      </c>
      <c r="D58" s="388">
        <f>+D18+D36</f>
        <v>121400</v>
      </c>
      <c r="E58" s="389">
        <f>+E18+E36</f>
        <v>72200</v>
      </c>
      <c r="F58" s="389">
        <f>+F18+F36</f>
        <v>30400</v>
      </c>
      <c r="G58" s="387">
        <f>+G18+G36</f>
        <v>11700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59"/>
  <sheetViews>
    <sheetView topLeftCell="A2" zoomScaleNormal="100" zoomScalePageLayoutView="120" workbookViewId="0">
      <pane ySplit="5" topLeftCell="A30" activePane="bottomLeft" state="frozen"/>
      <selection activeCell="A70" sqref="A70"/>
      <selection pane="bottomLeft" activeCell="C25" sqref="C25:D25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72" customWidth="1"/>
    <col min="3" max="3" width="11.140625" style="3" customWidth="1"/>
    <col min="4" max="7" width="11.7109375" style="3" customWidth="1"/>
    <col min="8" max="8" width="9.85546875" style="290"/>
    <col min="9" max="16384" width="9.85546875" style="1"/>
  </cols>
  <sheetData>
    <row r="1" spans="1:8" ht="15" x14ac:dyDescent="0.2">
      <c r="G1" s="5"/>
    </row>
    <row r="2" spans="1:8" ht="26.25" thickBot="1" x14ac:dyDescent="0.4">
      <c r="A2" s="119" t="s">
        <v>157</v>
      </c>
      <c r="B2" s="74"/>
      <c r="C2" s="7"/>
      <c r="D2" s="7"/>
      <c r="E2" s="7"/>
      <c r="F2" s="8"/>
      <c r="G2" s="9" t="s">
        <v>7</v>
      </c>
    </row>
    <row r="3" spans="1:8" ht="18.75" thickTop="1" x14ac:dyDescent="0.25">
      <c r="A3" s="10"/>
      <c r="B3" s="268"/>
      <c r="C3" s="269"/>
      <c r="D3" s="269"/>
      <c r="E3" s="269"/>
      <c r="F3" s="269"/>
      <c r="G3" s="269"/>
    </row>
    <row r="4" spans="1:8" ht="22.5" x14ac:dyDescent="0.3">
      <c r="A4" s="13"/>
      <c r="B4" s="76"/>
      <c r="C4" s="120" t="s">
        <v>8</v>
      </c>
      <c r="D4" s="121"/>
      <c r="E4" s="17" t="s">
        <v>9</v>
      </c>
      <c r="F4" s="18"/>
      <c r="G4" s="19"/>
    </row>
    <row r="5" spans="1:8" ht="18.75" x14ac:dyDescent="0.3">
      <c r="A5" s="20"/>
      <c r="B5" s="21"/>
      <c r="C5" s="122" t="s">
        <v>11</v>
      </c>
      <c r="D5" s="123" t="s">
        <v>12</v>
      </c>
      <c r="E5" s="24"/>
      <c r="F5" s="25"/>
      <c r="G5" s="26"/>
    </row>
    <row r="6" spans="1:8" ht="20.25" x14ac:dyDescent="0.3">
      <c r="A6" s="27" t="s">
        <v>56</v>
      </c>
      <c r="B6" s="147" t="s">
        <v>57</v>
      </c>
      <c r="C6" s="79">
        <v>2019</v>
      </c>
      <c r="D6" s="417">
        <v>2020</v>
      </c>
      <c r="E6" s="31">
        <v>2021</v>
      </c>
      <c r="F6" s="32">
        <v>2022</v>
      </c>
      <c r="G6" s="32">
        <v>2023</v>
      </c>
    </row>
    <row r="7" spans="1:8" s="290" customFormat="1" ht="15.75" x14ac:dyDescent="0.25">
      <c r="A7" s="259" t="s">
        <v>383</v>
      </c>
      <c r="B7" s="239">
        <v>1991</v>
      </c>
      <c r="C7" s="394">
        <v>250</v>
      </c>
      <c r="D7" s="361"/>
      <c r="E7" s="352"/>
      <c r="F7" s="352"/>
      <c r="G7" s="447"/>
      <c r="H7" s="290" t="s">
        <v>455</v>
      </c>
    </row>
    <row r="8" spans="1:8" s="290" customFormat="1" ht="15.75" x14ac:dyDescent="0.25">
      <c r="A8" s="259" t="s">
        <v>384</v>
      </c>
      <c r="B8" s="239">
        <v>1992</v>
      </c>
      <c r="C8" s="394">
        <v>100</v>
      </c>
      <c r="D8" s="305"/>
      <c r="E8" s="267"/>
      <c r="F8" s="267"/>
      <c r="G8" s="437"/>
      <c r="H8" s="290" t="s">
        <v>455</v>
      </c>
    </row>
    <row r="9" spans="1:8" s="290" customFormat="1" ht="15.75" x14ac:dyDescent="0.25">
      <c r="A9" s="90" t="s">
        <v>386</v>
      </c>
      <c r="B9" s="239">
        <v>1989</v>
      </c>
      <c r="C9" s="394">
        <v>200</v>
      </c>
      <c r="D9" s="305"/>
      <c r="E9" s="267"/>
      <c r="F9" s="267"/>
      <c r="G9" s="437"/>
      <c r="H9" s="290" t="s">
        <v>455</v>
      </c>
    </row>
    <row r="10" spans="1:8" s="290" customFormat="1" ht="15.75" x14ac:dyDescent="0.25">
      <c r="A10" s="259" t="s">
        <v>197</v>
      </c>
      <c r="B10" s="239">
        <v>1830</v>
      </c>
      <c r="C10" s="394">
        <v>17000</v>
      </c>
      <c r="D10" s="372">
        <v>8000</v>
      </c>
      <c r="E10" s="267">
        <v>8000</v>
      </c>
      <c r="F10" s="267">
        <v>8000</v>
      </c>
      <c r="G10" s="437">
        <v>5000</v>
      </c>
      <c r="H10" s="290" t="s">
        <v>453</v>
      </c>
    </row>
    <row r="11" spans="1:8" s="290" customFormat="1" ht="15.75" x14ac:dyDescent="0.25">
      <c r="A11" s="90" t="s">
        <v>261</v>
      </c>
      <c r="B11" s="239">
        <v>1813</v>
      </c>
      <c r="C11" s="394">
        <v>1000</v>
      </c>
      <c r="D11" s="305"/>
      <c r="E11" s="267"/>
      <c r="F11" s="267"/>
      <c r="G11" s="437"/>
      <c r="H11" s="290" t="s">
        <v>453</v>
      </c>
    </row>
    <row r="12" spans="1:8" s="290" customFormat="1" ht="15.75" x14ac:dyDescent="0.25">
      <c r="A12" s="259" t="s">
        <v>229</v>
      </c>
      <c r="B12" s="239">
        <v>1207</v>
      </c>
      <c r="C12" s="394">
        <v>1500</v>
      </c>
      <c r="D12" s="305"/>
      <c r="E12" s="267"/>
      <c r="F12" s="267"/>
      <c r="G12" s="437"/>
      <c r="H12" s="290" t="s">
        <v>453</v>
      </c>
    </row>
    <row r="13" spans="1:8" s="290" customFormat="1" ht="15.75" x14ac:dyDescent="0.25">
      <c r="A13" s="90" t="s">
        <v>390</v>
      </c>
      <c r="B13" s="239">
        <v>1781</v>
      </c>
      <c r="C13" s="394">
        <v>450</v>
      </c>
      <c r="D13" s="305"/>
      <c r="E13" s="267"/>
      <c r="F13" s="267"/>
      <c r="G13" s="437"/>
      <c r="H13" s="290" t="s">
        <v>453</v>
      </c>
    </row>
    <row r="14" spans="1:8" s="290" customFormat="1" ht="15.75" x14ac:dyDescent="0.25">
      <c r="A14" s="259" t="s">
        <v>420</v>
      </c>
      <c r="B14" s="239">
        <v>1182</v>
      </c>
      <c r="C14" s="394"/>
      <c r="D14" s="469">
        <v>59900</v>
      </c>
      <c r="E14" s="437"/>
      <c r="F14" s="437"/>
      <c r="G14" s="437"/>
      <c r="H14" s="290" t="s">
        <v>453</v>
      </c>
    </row>
    <row r="15" spans="1:8" s="290" customFormat="1" ht="15.75" x14ac:dyDescent="0.25">
      <c r="A15" s="90" t="s">
        <v>382</v>
      </c>
      <c r="B15" s="239">
        <v>1987</v>
      </c>
      <c r="C15" s="394">
        <v>0</v>
      </c>
      <c r="D15" s="305">
        <v>3000</v>
      </c>
      <c r="E15" s="267">
        <v>3000</v>
      </c>
      <c r="F15" s="267"/>
      <c r="G15" s="437"/>
      <c r="H15" s="290" t="s">
        <v>448</v>
      </c>
    </row>
    <row r="16" spans="1:8" s="290" customFormat="1" ht="15.75" x14ac:dyDescent="0.25">
      <c r="A16" s="259" t="s">
        <v>385</v>
      </c>
      <c r="B16" s="239">
        <v>1988</v>
      </c>
      <c r="C16" s="394"/>
      <c r="D16" s="305"/>
      <c r="E16" s="267"/>
      <c r="F16" s="267">
        <v>300</v>
      </c>
      <c r="G16" s="437"/>
      <c r="H16" s="290" t="s">
        <v>448</v>
      </c>
    </row>
    <row r="17" spans="1:8" s="290" customFormat="1" ht="15.75" x14ac:dyDescent="0.25">
      <c r="A17" s="259" t="s">
        <v>459</v>
      </c>
      <c r="B17" s="239">
        <v>1970</v>
      </c>
      <c r="C17" s="394"/>
      <c r="D17" s="469">
        <v>400</v>
      </c>
      <c r="E17" s="437"/>
      <c r="F17" s="437"/>
      <c r="G17" s="437"/>
      <c r="H17" s="290" t="s">
        <v>448</v>
      </c>
    </row>
    <row r="18" spans="1:8" s="290" customFormat="1" ht="15.75" x14ac:dyDescent="0.25">
      <c r="A18" s="90" t="s">
        <v>80</v>
      </c>
      <c r="B18" s="239">
        <v>1401</v>
      </c>
      <c r="C18" s="394">
        <v>3000</v>
      </c>
      <c r="D18" s="305">
        <v>3000</v>
      </c>
      <c r="E18" s="267">
        <v>3000</v>
      </c>
      <c r="F18" s="437">
        <v>1500</v>
      </c>
      <c r="G18" s="437">
        <v>1500</v>
      </c>
      <c r="H18" s="290" t="s">
        <v>452</v>
      </c>
    </row>
    <row r="19" spans="1:8" s="290" customFormat="1" ht="15.75" x14ac:dyDescent="0.25">
      <c r="A19" s="259" t="s">
        <v>461</v>
      </c>
      <c r="B19" s="239">
        <v>1981</v>
      </c>
      <c r="C19" s="394">
        <v>200</v>
      </c>
      <c r="D19" s="372">
        <v>800</v>
      </c>
      <c r="E19" s="267">
        <v>800</v>
      </c>
      <c r="F19" s="267">
        <v>800</v>
      </c>
      <c r="G19" s="437">
        <v>800</v>
      </c>
      <c r="H19" s="290" t="s">
        <v>450</v>
      </c>
    </row>
    <row r="20" spans="1:8" s="290" customFormat="1" ht="15.75" x14ac:dyDescent="0.25">
      <c r="A20" s="90" t="s">
        <v>79</v>
      </c>
      <c r="B20" s="239">
        <v>1774</v>
      </c>
      <c r="C20" s="394">
        <v>500</v>
      </c>
      <c r="D20" s="372">
        <v>300</v>
      </c>
      <c r="E20" s="267">
        <v>300</v>
      </c>
      <c r="F20" s="267">
        <v>300</v>
      </c>
      <c r="G20" s="437">
        <v>200</v>
      </c>
      <c r="H20" s="290" t="s">
        <v>450</v>
      </c>
    </row>
    <row r="21" spans="1:8" s="157" customFormat="1" ht="15.75" x14ac:dyDescent="0.25">
      <c r="A21" s="259" t="s">
        <v>409</v>
      </c>
      <c r="B21" s="239">
        <v>1414</v>
      </c>
      <c r="C21" s="394">
        <v>300</v>
      </c>
      <c r="D21" s="457">
        <f>250+550</f>
        <v>800</v>
      </c>
      <c r="E21" s="418">
        <f>250+550</f>
        <v>800</v>
      </c>
      <c r="F21" s="418">
        <f>250+550</f>
        <v>800</v>
      </c>
      <c r="G21" s="447">
        <v>550</v>
      </c>
      <c r="H21" s="290" t="s">
        <v>450</v>
      </c>
    </row>
    <row r="22" spans="1:8" s="157" customFormat="1" ht="15.75" x14ac:dyDescent="0.25">
      <c r="A22" s="259" t="s">
        <v>87</v>
      </c>
      <c r="B22" s="239">
        <v>1425</v>
      </c>
      <c r="C22" s="394">
        <v>250</v>
      </c>
      <c r="D22" s="494">
        <v>250</v>
      </c>
      <c r="E22" s="352">
        <v>250</v>
      </c>
      <c r="F22" s="352">
        <v>250</v>
      </c>
      <c r="G22" s="447">
        <v>250</v>
      </c>
      <c r="H22" s="290" t="s">
        <v>451</v>
      </c>
    </row>
    <row r="23" spans="1:8" s="421" customFormat="1" ht="15.75" x14ac:dyDescent="0.25">
      <c r="A23" s="259" t="s">
        <v>391</v>
      </c>
      <c r="B23" s="239">
        <v>114002</v>
      </c>
      <c r="C23" s="394">
        <v>20000</v>
      </c>
      <c r="D23" s="361">
        <v>4000</v>
      </c>
      <c r="E23" s="352">
        <v>13000</v>
      </c>
      <c r="F23" s="352"/>
      <c r="G23" s="447"/>
      <c r="H23" s="290" t="s">
        <v>456</v>
      </c>
    </row>
    <row r="24" spans="1:8" s="421" customFormat="1" ht="15.75" x14ac:dyDescent="0.25">
      <c r="A24" s="259" t="s">
        <v>392</v>
      </c>
      <c r="B24" s="239">
        <v>1703</v>
      </c>
      <c r="C24" s="394">
        <v>5000</v>
      </c>
      <c r="D24" s="361">
        <v>10000</v>
      </c>
      <c r="E24" s="352"/>
      <c r="F24" s="352"/>
      <c r="G24" s="447"/>
      <c r="H24" s="290" t="s">
        <v>456</v>
      </c>
    </row>
    <row r="25" spans="1:8" s="421" customFormat="1" ht="15.75" x14ac:dyDescent="0.25">
      <c r="A25" s="259" t="s">
        <v>421</v>
      </c>
      <c r="B25" s="239">
        <v>1757</v>
      </c>
      <c r="C25" s="394">
        <v>2000</v>
      </c>
      <c r="D25" s="457">
        <v>3000</v>
      </c>
      <c r="E25" s="352"/>
      <c r="F25" s="352"/>
      <c r="G25" s="447"/>
      <c r="H25" s="290" t="s">
        <v>456</v>
      </c>
    </row>
    <row r="26" spans="1:8" s="421" customFormat="1" ht="15.75" x14ac:dyDescent="0.25">
      <c r="A26" s="259" t="s">
        <v>460</v>
      </c>
      <c r="B26" s="239">
        <v>1851</v>
      </c>
      <c r="C26" s="394">
        <v>12000</v>
      </c>
      <c r="D26" s="457"/>
      <c r="E26" s="418"/>
      <c r="F26" s="418"/>
      <c r="G26" s="447"/>
      <c r="H26" s="290" t="s">
        <v>456</v>
      </c>
    </row>
    <row r="27" spans="1:8" s="421" customFormat="1" ht="15.75" x14ac:dyDescent="0.25">
      <c r="A27" s="259" t="s">
        <v>422</v>
      </c>
      <c r="B27" s="239">
        <v>1794</v>
      </c>
      <c r="C27" s="394"/>
      <c r="D27" s="361"/>
      <c r="E27" s="352"/>
      <c r="F27" s="418">
        <f>1100+250</f>
        <v>1350</v>
      </c>
      <c r="G27" s="447">
        <v>250</v>
      </c>
      <c r="H27" s="290" t="s">
        <v>457</v>
      </c>
    </row>
    <row r="28" spans="1:8" s="421" customFormat="1" ht="15.75" x14ac:dyDescent="0.25">
      <c r="A28" s="259" t="s">
        <v>395</v>
      </c>
      <c r="B28" s="239">
        <v>1795</v>
      </c>
      <c r="C28" s="394"/>
      <c r="D28" s="361"/>
      <c r="E28" s="352"/>
      <c r="F28" s="352">
        <v>500</v>
      </c>
      <c r="G28" s="447"/>
      <c r="H28" s="290" t="s">
        <v>457</v>
      </c>
    </row>
    <row r="29" spans="1:8" s="421" customFormat="1" ht="15.75" x14ac:dyDescent="0.25">
      <c r="A29" s="259" t="s">
        <v>270</v>
      </c>
      <c r="B29" s="239">
        <v>1951</v>
      </c>
      <c r="C29" s="394">
        <v>0</v>
      </c>
      <c r="D29" s="457">
        <v>10000</v>
      </c>
      <c r="E29" s="418">
        <v>0</v>
      </c>
      <c r="F29" s="418">
        <v>0</v>
      </c>
      <c r="G29" s="447">
        <v>0</v>
      </c>
      <c r="H29" s="290" t="s">
        <v>458</v>
      </c>
    </row>
    <row r="30" spans="1:8" s="421" customFormat="1" ht="15.75" x14ac:dyDescent="0.25">
      <c r="A30" s="259" t="s">
        <v>220</v>
      </c>
      <c r="B30" s="239">
        <v>1985</v>
      </c>
      <c r="C30" s="394">
        <v>1700</v>
      </c>
      <c r="D30" s="361"/>
      <c r="E30" s="352"/>
      <c r="F30" s="352"/>
      <c r="G30" s="447"/>
      <c r="H30" s="290" t="s">
        <v>454</v>
      </c>
    </row>
    <row r="31" spans="1:8" s="421" customFormat="1" ht="15.75" x14ac:dyDescent="0.25">
      <c r="A31" s="259" t="s">
        <v>393</v>
      </c>
      <c r="B31" s="239">
        <v>1782</v>
      </c>
      <c r="C31" s="394">
        <v>900</v>
      </c>
      <c r="D31" s="361"/>
      <c r="E31" s="352"/>
      <c r="F31" s="352"/>
      <c r="G31" s="447"/>
      <c r="H31" s="290" t="s">
        <v>454</v>
      </c>
    </row>
    <row r="32" spans="1:8" s="421" customFormat="1" ht="15.75" x14ac:dyDescent="0.25">
      <c r="A32" s="259" t="s">
        <v>0</v>
      </c>
      <c r="B32" s="239">
        <v>1709</v>
      </c>
      <c r="C32" s="394">
        <f>500-350</f>
        <v>150</v>
      </c>
      <c r="D32" s="494">
        <v>800</v>
      </c>
      <c r="E32" s="352">
        <v>800</v>
      </c>
      <c r="F32" s="352">
        <v>800</v>
      </c>
      <c r="G32" s="447"/>
      <c r="H32" s="290" t="s">
        <v>449</v>
      </c>
    </row>
    <row r="33" spans="1:8" s="421" customFormat="1" ht="15.75" x14ac:dyDescent="0.25">
      <c r="A33" s="259" t="s">
        <v>162</v>
      </c>
      <c r="B33" s="239">
        <v>1710</v>
      </c>
      <c r="C33" s="394">
        <v>800</v>
      </c>
      <c r="D33" s="361">
        <v>200</v>
      </c>
      <c r="E33" s="352">
        <v>200</v>
      </c>
      <c r="F33" s="352">
        <v>200</v>
      </c>
      <c r="G33" s="447">
        <v>200</v>
      </c>
      <c r="H33" s="290" t="s">
        <v>449</v>
      </c>
    </row>
    <row r="34" spans="1:8" s="421" customFormat="1" ht="15.75" x14ac:dyDescent="0.25">
      <c r="A34" s="259" t="s">
        <v>78</v>
      </c>
      <c r="B34" s="239">
        <v>1711</v>
      </c>
      <c r="C34" s="394">
        <v>800</v>
      </c>
      <c r="D34" s="361">
        <v>500</v>
      </c>
      <c r="E34" s="352">
        <v>500</v>
      </c>
      <c r="F34" s="352">
        <v>500</v>
      </c>
      <c r="G34" s="447">
        <v>500</v>
      </c>
      <c r="H34" s="290" t="s">
        <v>449</v>
      </c>
    </row>
    <row r="35" spans="1:8" s="421" customFormat="1" ht="15.75" x14ac:dyDescent="0.25">
      <c r="A35" s="259" t="s">
        <v>155</v>
      </c>
      <c r="B35" s="239">
        <v>1714</v>
      </c>
      <c r="C35" s="394">
        <v>3000</v>
      </c>
      <c r="D35" s="361">
        <v>3000</v>
      </c>
      <c r="E35" s="352">
        <v>3000</v>
      </c>
      <c r="F35" s="352">
        <v>3000</v>
      </c>
      <c r="G35" s="447">
        <v>3000</v>
      </c>
      <c r="H35" s="290" t="s">
        <v>449</v>
      </c>
    </row>
    <row r="36" spans="1:8" s="421" customFormat="1" ht="15.75" x14ac:dyDescent="0.25">
      <c r="A36" s="259" t="s">
        <v>173</v>
      </c>
      <c r="B36" s="239">
        <v>1981</v>
      </c>
      <c r="C36" s="394">
        <v>1500</v>
      </c>
      <c r="D36" s="361">
        <v>1500</v>
      </c>
      <c r="E36" s="352">
        <v>700</v>
      </c>
      <c r="F36" s="352">
        <v>700</v>
      </c>
      <c r="G36" s="353"/>
      <c r="H36" s="290" t="s">
        <v>449</v>
      </c>
    </row>
    <row r="37" spans="1:8" s="421" customFormat="1" ht="15.75" x14ac:dyDescent="0.25">
      <c r="A37" s="259" t="s">
        <v>262</v>
      </c>
      <c r="B37" s="239">
        <v>1423</v>
      </c>
      <c r="C37" s="394">
        <v>2000</v>
      </c>
      <c r="D37" s="361"/>
      <c r="E37" s="352"/>
      <c r="F37" s="352"/>
      <c r="G37" s="447"/>
      <c r="H37" s="290" t="s">
        <v>449</v>
      </c>
    </row>
    <row r="38" spans="1:8" s="421" customFormat="1" ht="15.75" x14ac:dyDescent="0.25">
      <c r="A38" s="259" t="s">
        <v>405</v>
      </c>
      <c r="B38" s="239">
        <v>1990</v>
      </c>
      <c r="C38" s="394"/>
      <c r="D38" s="361">
        <v>2100</v>
      </c>
      <c r="E38" s="352"/>
      <c r="F38" s="352"/>
      <c r="G38" s="447"/>
      <c r="H38" s="290" t="s">
        <v>449</v>
      </c>
    </row>
    <row r="39" spans="1:8" s="157" customFormat="1" ht="15.75" x14ac:dyDescent="0.25">
      <c r="A39" s="259" t="s">
        <v>387</v>
      </c>
      <c r="B39" s="239">
        <v>1984</v>
      </c>
      <c r="C39" s="394"/>
      <c r="D39" s="361">
        <v>2100</v>
      </c>
      <c r="E39" s="352"/>
      <c r="F39" s="352"/>
      <c r="G39" s="447"/>
      <c r="H39" s="290" t="s">
        <v>449</v>
      </c>
    </row>
    <row r="40" spans="1:8" s="157" customFormat="1" ht="15.75" x14ac:dyDescent="0.25">
      <c r="A40" s="259" t="s">
        <v>388</v>
      </c>
      <c r="B40" s="239">
        <v>1710</v>
      </c>
      <c r="C40" s="394"/>
      <c r="D40" s="361">
        <v>600</v>
      </c>
      <c r="E40" s="352">
        <v>600</v>
      </c>
      <c r="F40" s="352"/>
      <c r="G40" s="447"/>
      <c r="H40" s="290" t="s">
        <v>449</v>
      </c>
    </row>
    <row r="41" spans="1:8" s="157" customFormat="1" ht="15.75" x14ac:dyDescent="0.25">
      <c r="A41" s="259" t="s">
        <v>408</v>
      </c>
      <c r="B41" s="239">
        <v>1730</v>
      </c>
      <c r="C41" s="394"/>
      <c r="D41" s="457">
        <v>1500</v>
      </c>
      <c r="E41" s="468"/>
      <c r="F41" s="418">
        <v>0</v>
      </c>
      <c r="G41" s="447"/>
      <c r="H41" s="290" t="s">
        <v>449</v>
      </c>
    </row>
    <row r="42" spans="1:8" s="157" customFormat="1" ht="15.75" x14ac:dyDescent="0.25">
      <c r="A42" s="259" t="s">
        <v>389</v>
      </c>
      <c r="B42" s="239">
        <v>1777</v>
      </c>
      <c r="C42" s="394">
        <v>2000</v>
      </c>
      <c r="D42" s="361"/>
      <c r="E42" s="352"/>
      <c r="F42" s="352"/>
      <c r="G42" s="447"/>
      <c r="H42" s="290" t="s">
        <v>449</v>
      </c>
    </row>
    <row r="43" spans="1:8" s="157" customFormat="1" ht="15.75" x14ac:dyDescent="0.25">
      <c r="A43" s="259" t="s">
        <v>394</v>
      </c>
      <c r="B43" s="239">
        <v>1783</v>
      </c>
      <c r="C43" s="394">
        <v>800</v>
      </c>
      <c r="D43" s="361">
        <v>800</v>
      </c>
      <c r="E43" s="352"/>
      <c r="F43" s="352"/>
      <c r="G43" s="447"/>
      <c r="H43" s="290" t="s">
        <v>449</v>
      </c>
    </row>
    <row r="44" spans="1:8" s="157" customFormat="1" ht="15.75" x14ac:dyDescent="0.25">
      <c r="A44" s="259" t="s">
        <v>271</v>
      </c>
      <c r="B44" s="239">
        <v>1530</v>
      </c>
      <c r="C44" s="394">
        <v>500</v>
      </c>
      <c r="D44" s="361">
        <v>500</v>
      </c>
      <c r="E44" s="352">
        <v>500</v>
      </c>
      <c r="F44" s="352">
        <v>500</v>
      </c>
      <c r="G44" s="447"/>
      <c r="H44" s="290" t="s">
        <v>449</v>
      </c>
    </row>
    <row r="45" spans="1:8" s="157" customFormat="1" ht="15.75" x14ac:dyDescent="0.25">
      <c r="A45" s="259" t="s">
        <v>272</v>
      </c>
      <c r="B45" s="239">
        <v>1101</v>
      </c>
      <c r="C45" s="394">
        <v>7300</v>
      </c>
      <c r="D45" s="457">
        <v>0</v>
      </c>
      <c r="E45" s="418">
        <v>0</v>
      </c>
      <c r="F45" s="352"/>
      <c r="G45" s="447"/>
      <c r="H45" s="290" t="s">
        <v>449</v>
      </c>
    </row>
    <row r="46" spans="1:8" s="157" customFormat="1" ht="15.75" x14ac:dyDescent="0.25">
      <c r="A46" s="259" t="s">
        <v>406</v>
      </c>
      <c r="B46" s="239">
        <v>1775</v>
      </c>
      <c r="C46" s="394"/>
      <c r="D46" s="457">
        <v>1500</v>
      </c>
      <c r="E46" s="418"/>
      <c r="F46" s="418"/>
      <c r="G46" s="447"/>
      <c r="H46" s="290" t="s">
        <v>449</v>
      </c>
    </row>
    <row r="47" spans="1:8" s="157" customFormat="1" ht="15.75" x14ac:dyDescent="0.25">
      <c r="A47" s="259" t="s">
        <v>407</v>
      </c>
      <c r="B47" s="239">
        <v>1717</v>
      </c>
      <c r="C47" s="394"/>
      <c r="D47" s="457"/>
      <c r="E47" s="418"/>
      <c r="F47" s="418"/>
      <c r="G47" s="447">
        <v>2000</v>
      </c>
      <c r="H47" s="290" t="s">
        <v>449</v>
      </c>
    </row>
    <row r="48" spans="1:8" s="157" customFormat="1" ht="15.75" x14ac:dyDescent="0.25">
      <c r="A48" s="259" t="s">
        <v>419</v>
      </c>
      <c r="B48" s="239">
        <v>1535</v>
      </c>
      <c r="C48" s="394"/>
      <c r="D48" s="457">
        <v>150</v>
      </c>
      <c r="E48" s="418"/>
      <c r="F48" s="418"/>
      <c r="G48" s="447"/>
      <c r="H48" s="290" t="s">
        <v>449</v>
      </c>
    </row>
    <row r="49" spans="1:8" s="157" customFormat="1" ht="15.75" x14ac:dyDescent="0.25">
      <c r="A49" s="259"/>
      <c r="B49" s="239"/>
      <c r="C49" s="394"/>
      <c r="D49" s="457"/>
      <c r="E49" s="418"/>
      <c r="F49" s="418"/>
      <c r="G49" s="447"/>
      <c r="H49" s="290"/>
    </row>
    <row r="50" spans="1:8" s="157" customFormat="1" ht="15.75" x14ac:dyDescent="0.25">
      <c r="A50" s="259"/>
      <c r="B50" s="239"/>
      <c r="C50" s="394"/>
      <c r="D50" s="457"/>
      <c r="E50" s="418"/>
      <c r="F50" s="418"/>
      <c r="G50" s="447"/>
      <c r="H50" s="290"/>
    </row>
    <row r="51" spans="1:8" s="157" customFormat="1" ht="15.75" x14ac:dyDescent="0.25">
      <c r="A51" s="259"/>
      <c r="B51" s="239"/>
      <c r="C51" s="394"/>
      <c r="D51" s="457"/>
      <c r="E51" s="418"/>
      <c r="F51" s="418"/>
      <c r="G51" s="447"/>
      <c r="H51" s="290"/>
    </row>
    <row r="52" spans="1:8" s="157" customFormat="1" ht="15.75" x14ac:dyDescent="0.25">
      <c r="A52" s="259"/>
      <c r="B52" s="239"/>
      <c r="C52" s="394"/>
      <c r="D52" s="457"/>
      <c r="E52" s="418"/>
      <c r="F52" s="418"/>
      <c r="G52" s="447"/>
      <c r="H52" s="290"/>
    </row>
    <row r="53" spans="1:8" s="157" customFormat="1" ht="15.75" x14ac:dyDescent="0.25">
      <c r="A53" s="259"/>
      <c r="B53" s="239"/>
      <c r="C53" s="394"/>
      <c r="D53" s="457"/>
      <c r="E53" s="418"/>
      <c r="F53" s="418"/>
      <c r="G53" s="447"/>
      <c r="H53" s="290"/>
    </row>
    <row r="54" spans="1:8" s="157" customFormat="1" ht="15.75" x14ac:dyDescent="0.25">
      <c r="A54" s="259"/>
      <c r="B54" s="239"/>
      <c r="C54" s="394"/>
      <c r="D54" s="457"/>
      <c r="E54" s="418"/>
      <c r="F54" s="418"/>
      <c r="G54" s="447"/>
      <c r="H54" s="290"/>
    </row>
    <row r="55" spans="1:8" s="157" customFormat="1" ht="15.75" x14ac:dyDescent="0.25">
      <c r="A55" s="259"/>
      <c r="B55" s="239"/>
      <c r="C55" s="394"/>
      <c r="D55" s="361"/>
      <c r="E55" s="352"/>
      <c r="F55" s="352"/>
      <c r="G55" s="353"/>
      <c r="H55" s="290"/>
    </row>
    <row r="56" spans="1:8" s="157" customFormat="1" ht="15.75" x14ac:dyDescent="0.25">
      <c r="A56" s="259"/>
      <c r="B56" s="239"/>
      <c r="C56" s="288"/>
      <c r="D56" s="361"/>
      <c r="E56" s="352"/>
      <c r="F56" s="352"/>
      <c r="G56" s="353"/>
      <c r="H56" s="290"/>
    </row>
    <row r="57" spans="1:8" s="157" customFormat="1" ht="16.5" thickBot="1" x14ac:dyDescent="0.3">
      <c r="A57" s="259"/>
      <c r="B57" s="239"/>
      <c r="C57" s="288"/>
      <c r="D57" s="361"/>
      <c r="E57" s="352"/>
      <c r="F57" s="352"/>
      <c r="G57" s="353"/>
      <c r="H57" s="290"/>
    </row>
    <row r="58" spans="1:8" ht="16.5" thickBot="1" x14ac:dyDescent="0.3">
      <c r="A58" s="384" t="s">
        <v>81</v>
      </c>
      <c r="B58" s="385"/>
      <c r="C58" s="386">
        <f>SUM(C7:C57)</f>
        <v>85200</v>
      </c>
      <c r="D58" s="388">
        <f>SUM(D7:D57)</f>
        <v>118700</v>
      </c>
      <c r="E58" s="389">
        <f>SUM(E7:E57)</f>
        <v>35450</v>
      </c>
      <c r="F58" s="389">
        <f>SUM(F7:F57)</f>
        <v>19500</v>
      </c>
      <c r="G58" s="387">
        <f>SUM(G7:G57)</f>
        <v>14250</v>
      </c>
    </row>
    <row r="59" spans="1:8" x14ac:dyDescent="0.2">
      <c r="C59" s="264"/>
    </row>
  </sheetData>
  <sortState xmlns:xlrd2="http://schemas.microsoft.com/office/spreadsheetml/2017/richdata2" ref="A7:H48">
    <sortCondition ref="H7:H48"/>
  </sortState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86"/>
  <sheetViews>
    <sheetView topLeftCell="A40" zoomScale="90" zoomScaleNormal="90" zoomScalePageLayoutView="90" workbookViewId="0">
      <selection activeCell="G53" sqref="G53:I58"/>
    </sheetView>
  </sheetViews>
  <sheetFormatPr baseColWidth="10" defaultColWidth="9.85546875" defaultRowHeight="12.75" x14ac:dyDescent="0.2"/>
  <cols>
    <col min="1" max="1" width="11.42578125" style="1" customWidth="1"/>
    <col min="2" max="2" width="36.42578125" style="1" customWidth="1"/>
    <col min="3" max="3" width="11.42578125" style="2" customWidth="1"/>
    <col min="4" max="4" width="13.42578125" style="3" customWidth="1"/>
    <col min="5" max="5" width="13.140625" style="3" customWidth="1"/>
    <col min="6" max="6" width="13" style="3" customWidth="1"/>
    <col min="7" max="8" width="11.7109375" style="3" customWidth="1"/>
    <col min="9" max="9" width="11.5703125" style="3" customWidth="1"/>
    <col min="10" max="11" width="9.85546875" style="1" hidden="1" customWidth="1"/>
    <col min="12" max="12" width="11.42578125" style="1" hidden="1" customWidth="1"/>
    <col min="13" max="16384" width="9.85546875" style="1"/>
  </cols>
  <sheetData>
    <row r="1" spans="2:17" ht="15.75" x14ac:dyDescent="0.25">
      <c r="B1" s="155" t="s">
        <v>280</v>
      </c>
      <c r="E1" s="4"/>
      <c r="I1" s="285"/>
    </row>
    <row r="2" spans="2:17" ht="26.25" thickBot="1" x14ac:dyDescent="0.4">
      <c r="B2" s="119" t="s">
        <v>6</v>
      </c>
      <c r="C2" s="6"/>
      <c r="D2" s="7"/>
      <c r="E2" s="7"/>
      <c r="F2" s="7"/>
      <c r="G2" s="313"/>
      <c r="H2" s="314"/>
      <c r="I2" s="315" t="s">
        <v>430</v>
      </c>
    </row>
    <row r="3" spans="2:17" ht="18.75" thickTop="1" x14ac:dyDescent="0.25">
      <c r="B3" s="10"/>
      <c r="C3" s="11"/>
      <c r="D3" s="12"/>
      <c r="E3" s="12"/>
      <c r="F3" s="12"/>
      <c r="G3" s="12"/>
      <c r="H3" s="12"/>
      <c r="I3" s="12"/>
      <c r="M3" s="286"/>
      <c r="N3" s="286"/>
      <c r="O3" s="286"/>
      <c r="P3" s="286"/>
      <c r="Q3" s="286"/>
    </row>
    <row r="4" spans="2:17" ht="22.5" x14ac:dyDescent="0.3">
      <c r="B4" s="13"/>
      <c r="C4" s="14"/>
      <c r="D4" s="15"/>
      <c r="E4" s="16" t="s">
        <v>8</v>
      </c>
      <c r="F4" s="295"/>
      <c r="G4" s="17" t="s">
        <v>9</v>
      </c>
      <c r="H4" s="18"/>
      <c r="I4" s="283"/>
      <c r="M4" s="286"/>
      <c r="N4" s="286"/>
      <c r="O4" s="286"/>
      <c r="P4" s="286"/>
      <c r="Q4" s="286"/>
    </row>
    <row r="5" spans="2:17" ht="18.75" x14ac:dyDescent="0.3">
      <c r="B5" s="20"/>
      <c r="C5" s="21"/>
      <c r="D5" s="22" t="s">
        <v>10</v>
      </c>
      <c r="E5" s="23" t="s">
        <v>11</v>
      </c>
      <c r="F5" s="296" t="s">
        <v>12</v>
      </c>
      <c r="G5" s="24"/>
      <c r="H5" s="25"/>
      <c r="I5" s="284"/>
      <c r="M5" s="286"/>
      <c r="N5" s="286"/>
      <c r="O5" s="286"/>
      <c r="P5" s="286"/>
      <c r="Q5" s="286"/>
    </row>
    <row r="6" spans="2:17" ht="20.25" x14ac:dyDescent="0.3">
      <c r="B6" s="27" t="s">
        <v>13</v>
      </c>
      <c r="C6" s="28" t="s">
        <v>14</v>
      </c>
      <c r="D6" s="29">
        <v>2018</v>
      </c>
      <c r="E6" s="30">
        <v>2019</v>
      </c>
      <c r="F6" s="297">
        <v>2020</v>
      </c>
      <c r="G6" s="327">
        <v>2021</v>
      </c>
      <c r="H6" s="328">
        <v>2022</v>
      </c>
      <c r="I6" s="329">
        <v>2023</v>
      </c>
      <c r="M6" s="286"/>
      <c r="N6" s="286"/>
      <c r="O6" s="286"/>
      <c r="P6" s="286"/>
      <c r="Q6" s="286"/>
    </row>
    <row r="7" spans="2:17" ht="15.75" x14ac:dyDescent="0.25">
      <c r="B7" s="33" t="s">
        <v>233</v>
      </c>
      <c r="C7" s="34"/>
      <c r="D7" s="35"/>
      <c r="E7" s="294"/>
      <c r="F7" s="316"/>
      <c r="G7" s="298"/>
      <c r="H7" s="298"/>
      <c r="I7" s="298"/>
      <c r="M7" s="286"/>
      <c r="N7" s="286"/>
      <c r="O7" s="286"/>
      <c r="P7" s="286"/>
      <c r="Q7" s="286"/>
    </row>
    <row r="8" spans="2:17" ht="15.75" x14ac:dyDescent="0.25">
      <c r="B8" s="37" t="s">
        <v>15</v>
      </c>
      <c r="C8" s="38">
        <v>8000</v>
      </c>
      <c r="D8" s="428">
        <v>-421333</v>
      </c>
      <c r="E8" s="52">
        <f>-448200+3200</f>
        <v>-445000</v>
      </c>
      <c r="F8" s="316">
        <v>-453200</v>
      </c>
      <c r="G8" s="298">
        <v>-453200</v>
      </c>
      <c r="H8" s="298">
        <v>-453200</v>
      </c>
      <c r="I8" s="298">
        <v>-453200</v>
      </c>
      <c r="M8" s="286"/>
      <c r="N8" s="286"/>
      <c r="O8" s="286"/>
      <c r="P8" s="286"/>
      <c r="Q8" s="286"/>
    </row>
    <row r="9" spans="2:17" ht="15.75" x14ac:dyDescent="0.25">
      <c r="B9" s="37" t="s">
        <v>169</v>
      </c>
      <c r="C9" s="38">
        <v>8040</v>
      </c>
      <c r="D9" s="428">
        <v>-16197</v>
      </c>
      <c r="E9" s="52">
        <v>850</v>
      </c>
      <c r="F9" s="316">
        <v>-9400</v>
      </c>
      <c r="G9" s="298">
        <v>-10300</v>
      </c>
      <c r="H9" s="298">
        <v>-10300</v>
      </c>
      <c r="I9" s="298">
        <v>-10300</v>
      </c>
      <c r="M9" s="286"/>
      <c r="N9" s="286"/>
      <c r="O9" s="286"/>
      <c r="P9" s="286"/>
      <c r="Q9" s="286"/>
    </row>
    <row r="10" spans="2:17" ht="15.75" x14ac:dyDescent="0.25">
      <c r="B10" s="37" t="s">
        <v>16</v>
      </c>
      <c r="C10" s="38">
        <v>8040</v>
      </c>
      <c r="D10" s="428">
        <v>-361730</v>
      </c>
      <c r="E10" s="52">
        <f>-371500-9000</f>
        <v>-380500</v>
      </c>
      <c r="F10" s="316">
        <v>-383900</v>
      </c>
      <c r="G10" s="298">
        <v>-383900</v>
      </c>
      <c r="H10" s="298">
        <v>-383900</v>
      </c>
      <c r="I10" s="298">
        <v>-383900</v>
      </c>
      <c r="M10" s="286"/>
      <c r="N10" s="286"/>
      <c r="O10" s="286"/>
      <c r="P10" s="286"/>
      <c r="Q10" s="286"/>
    </row>
    <row r="11" spans="2:17" s="286" customFormat="1" ht="15.75" x14ac:dyDescent="0.25">
      <c r="B11" s="37" t="s">
        <v>212</v>
      </c>
      <c r="C11" s="38">
        <v>8040</v>
      </c>
      <c r="D11" s="428"/>
      <c r="E11" s="52">
        <v>-1000</v>
      </c>
      <c r="F11" s="316">
        <v>0</v>
      </c>
      <c r="G11" s="298">
        <v>0</v>
      </c>
      <c r="H11" s="298">
        <v>0</v>
      </c>
      <c r="I11" s="298">
        <v>0</v>
      </c>
    </row>
    <row r="12" spans="2:17" ht="15.75" x14ac:dyDescent="0.25">
      <c r="B12" s="37" t="s">
        <v>82</v>
      </c>
      <c r="C12" s="38">
        <v>8040</v>
      </c>
      <c r="D12" s="428">
        <v>-4305</v>
      </c>
      <c r="E12" s="52">
        <v>-2000</v>
      </c>
      <c r="F12" s="316">
        <v>-3000</v>
      </c>
      <c r="G12" s="298">
        <v>-3000</v>
      </c>
      <c r="H12" s="298">
        <v>-3000</v>
      </c>
      <c r="I12" s="298">
        <v>-3000</v>
      </c>
      <c r="M12" s="286"/>
      <c r="N12" s="286"/>
      <c r="O12" s="286"/>
      <c r="P12" s="286"/>
      <c r="Q12" s="286"/>
    </row>
    <row r="13" spans="2:17" ht="15.75" x14ac:dyDescent="0.25">
      <c r="B13" s="37" t="s">
        <v>132</v>
      </c>
      <c r="C13" s="38">
        <v>8045</v>
      </c>
      <c r="D13" s="428">
        <v>-43</v>
      </c>
      <c r="E13" s="52"/>
      <c r="F13" s="316"/>
      <c r="G13" s="298"/>
      <c r="H13" s="298"/>
      <c r="I13" s="298"/>
      <c r="M13" s="286"/>
      <c r="N13" s="286"/>
      <c r="O13" s="286"/>
      <c r="P13" s="286"/>
      <c r="Q13" s="286"/>
    </row>
    <row r="14" spans="2:17" ht="15.75" x14ac:dyDescent="0.25">
      <c r="B14" s="37" t="s">
        <v>17</v>
      </c>
      <c r="C14" s="38">
        <v>8043</v>
      </c>
      <c r="D14" s="428">
        <v>-2841</v>
      </c>
      <c r="E14" s="52">
        <v>-2600</v>
      </c>
      <c r="F14" s="316">
        <v>-2300</v>
      </c>
      <c r="G14" s="298">
        <v>-2000</v>
      </c>
      <c r="H14" s="298">
        <v>-1700</v>
      </c>
      <c r="I14" s="298">
        <v>-1400</v>
      </c>
      <c r="M14" s="286"/>
      <c r="N14" s="286"/>
      <c r="O14" s="286"/>
      <c r="P14" s="286"/>
      <c r="Q14" s="286"/>
    </row>
    <row r="15" spans="2:17" ht="15.75" x14ac:dyDescent="0.25">
      <c r="B15" s="37" t="s">
        <v>18</v>
      </c>
      <c r="C15" s="38">
        <v>8045</v>
      </c>
      <c r="D15" s="428">
        <v>-53506</v>
      </c>
      <c r="E15" s="52">
        <v>-52500</v>
      </c>
      <c r="F15" s="316">
        <v>-51500</v>
      </c>
      <c r="G15" s="298">
        <v>-50500</v>
      </c>
      <c r="H15" s="298">
        <v>-49500</v>
      </c>
      <c r="I15" s="298">
        <v>-48500</v>
      </c>
      <c r="M15" s="286"/>
      <c r="N15" s="286"/>
      <c r="O15" s="286"/>
      <c r="P15" s="286"/>
      <c r="Q15" s="286"/>
    </row>
    <row r="16" spans="2:17" s="286" customFormat="1" ht="15.75" x14ac:dyDescent="0.25">
      <c r="B16" s="37" t="s">
        <v>200</v>
      </c>
      <c r="C16" s="38">
        <v>8046</v>
      </c>
      <c r="D16" s="428">
        <v>-154</v>
      </c>
      <c r="E16" s="52"/>
      <c r="F16" s="316"/>
      <c r="G16" s="298"/>
      <c r="H16" s="298"/>
      <c r="I16" s="298"/>
    </row>
    <row r="17" spans="2:9" ht="15.75" x14ac:dyDescent="0.25">
      <c r="B17" s="37" t="s">
        <v>19</v>
      </c>
      <c r="C17" s="38">
        <v>8050</v>
      </c>
      <c r="D17" s="428">
        <f>-38496+32</f>
        <v>-38464</v>
      </c>
      <c r="E17" s="52">
        <f>-28500+2000</f>
        <v>-26500</v>
      </c>
      <c r="F17" s="316">
        <v>-17700</v>
      </c>
      <c r="G17" s="298">
        <v>-13600</v>
      </c>
      <c r="H17" s="298">
        <v>-12200</v>
      </c>
      <c r="I17" s="298">
        <v>-12400</v>
      </c>
    </row>
    <row r="18" spans="2:9" ht="15.75" x14ac:dyDescent="0.25">
      <c r="B18" s="37" t="s">
        <v>255</v>
      </c>
      <c r="C18" s="38">
        <v>8010</v>
      </c>
      <c r="D18" s="434">
        <f>-31870+96-105</f>
        <v>-31879</v>
      </c>
      <c r="E18" s="52">
        <v>-35057</v>
      </c>
      <c r="F18" s="316">
        <v>-35150</v>
      </c>
      <c r="G18" s="298">
        <v>-35150</v>
      </c>
      <c r="H18" s="298">
        <v>-35150</v>
      </c>
      <c r="I18" s="298">
        <v>-35150</v>
      </c>
    </row>
    <row r="19" spans="2:9" ht="15.75" x14ac:dyDescent="0.25">
      <c r="B19" s="37" t="s">
        <v>145</v>
      </c>
      <c r="C19" s="38">
        <v>8010</v>
      </c>
      <c r="D19" s="52">
        <v>-9311</v>
      </c>
      <c r="E19" s="52">
        <v>-9840</v>
      </c>
      <c r="F19" s="316">
        <v>-9900</v>
      </c>
      <c r="G19" s="298">
        <v>-9900</v>
      </c>
      <c r="H19" s="298">
        <v>-9900</v>
      </c>
      <c r="I19" s="298">
        <v>-9900</v>
      </c>
    </row>
    <row r="20" spans="2:9" s="286" customFormat="1" ht="15.75" x14ac:dyDescent="0.25">
      <c r="B20" s="426" t="s">
        <v>256</v>
      </c>
      <c r="C20" s="38">
        <v>8010</v>
      </c>
      <c r="D20" s="52">
        <v>-7240</v>
      </c>
      <c r="E20" s="52">
        <v>-7240</v>
      </c>
      <c r="F20" s="316">
        <v>-6200</v>
      </c>
      <c r="G20" s="298">
        <v>-6200</v>
      </c>
      <c r="H20" s="298">
        <v>-6200</v>
      </c>
      <c r="I20" s="298">
        <v>-6200</v>
      </c>
    </row>
    <row r="21" spans="2:9" s="286" customFormat="1" ht="15.75" x14ac:dyDescent="0.25">
      <c r="B21" s="426" t="s">
        <v>257</v>
      </c>
      <c r="C21" s="38">
        <v>8010</v>
      </c>
      <c r="D21" s="431">
        <f>-18358+7240</f>
        <v>-11118</v>
      </c>
      <c r="E21" s="52">
        <v>-11520</v>
      </c>
      <c r="F21" s="316">
        <v>-12700</v>
      </c>
      <c r="G21" s="298">
        <v>-12700</v>
      </c>
      <c r="H21" s="298">
        <v>-12700</v>
      </c>
      <c r="I21" s="298">
        <v>-12700</v>
      </c>
    </row>
    <row r="22" spans="2:9" ht="15.75" x14ac:dyDescent="0.25">
      <c r="B22" s="37" t="s">
        <v>20</v>
      </c>
      <c r="C22" s="38">
        <v>8041</v>
      </c>
      <c r="D22" s="429">
        <v>-23559</v>
      </c>
      <c r="E22" s="52"/>
      <c r="F22" s="316"/>
      <c r="G22" s="298"/>
      <c r="H22" s="298"/>
      <c r="I22" s="298"/>
    </row>
    <row r="23" spans="2:9" ht="15.75" x14ac:dyDescent="0.25">
      <c r="B23" s="41" t="s">
        <v>21</v>
      </c>
      <c r="C23" s="42">
        <v>8042</v>
      </c>
      <c r="D23" s="430"/>
      <c r="E23" s="52">
        <v>0</v>
      </c>
      <c r="F23" s="316">
        <v>0</v>
      </c>
      <c r="G23" s="298">
        <v>0</v>
      </c>
      <c r="H23" s="298"/>
      <c r="I23" s="298"/>
    </row>
    <row r="24" spans="2:9" ht="15.75" x14ac:dyDescent="0.25">
      <c r="B24" s="41" t="s">
        <v>22</v>
      </c>
      <c r="C24" s="42">
        <v>8044</v>
      </c>
      <c r="D24" s="430">
        <v>-525</v>
      </c>
      <c r="E24" s="52">
        <v>-600</v>
      </c>
      <c r="F24" s="316">
        <v>-550</v>
      </c>
      <c r="G24" s="298">
        <v>-500</v>
      </c>
      <c r="H24" s="298">
        <v>-450</v>
      </c>
      <c r="I24" s="298">
        <v>-400</v>
      </c>
    </row>
    <row r="25" spans="2:9" ht="15.75" x14ac:dyDescent="0.25">
      <c r="B25" s="41" t="s">
        <v>23</v>
      </c>
      <c r="C25" s="42">
        <v>8099</v>
      </c>
      <c r="D25" s="430">
        <v>-20493</v>
      </c>
      <c r="E25" s="104">
        <v>-20651</v>
      </c>
      <c r="F25" s="316">
        <v>-23381</v>
      </c>
      <c r="G25" s="298">
        <v>-24840</v>
      </c>
      <c r="H25" s="298">
        <v>-29238</v>
      </c>
      <c r="I25" s="298">
        <v>-30371</v>
      </c>
    </row>
    <row r="26" spans="2:9" ht="15.75" x14ac:dyDescent="0.25">
      <c r="B26" s="44" t="s">
        <v>24</v>
      </c>
      <c r="C26" s="45"/>
      <c r="D26" s="46">
        <f t="shared" ref="D26:I26" si="0">SUM(D8:D25)</f>
        <v>-1002698</v>
      </c>
      <c r="E26" s="128">
        <f t="shared" si="0"/>
        <v>-994158</v>
      </c>
      <c r="F26" s="317">
        <f t="shared" si="0"/>
        <v>-1008881</v>
      </c>
      <c r="G26" s="395">
        <f t="shared" si="0"/>
        <v>-1005790</v>
      </c>
      <c r="H26" s="395">
        <f t="shared" si="0"/>
        <v>-1007438</v>
      </c>
      <c r="I26" s="396">
        <f t="shared" si="0"/>
        <v>-1007421</v>
      </c>
    </row>
    <row r="27" spans="2:9" ht="15.75" x14ac:dyDescent="0.25">
      <c r="B27" s="47"/>
      <c r="C27" s="48"/>
      <c r="D27" s="35"/>
      <c r="E27" s="129"/>
      <c r="F27" s="318"/>
      <c r="G27" s="330"/>
      <c r="H27" s="331"/>
      <c r="I27" s="331"/>
    </row>
    <row r="28" spans="2:9" ht="15.75" x14ac:dyDescent="0.25">
      <c r="B28" s="49" t="s">
        <v>232</v>
      </c>
      <c r="C28" s="42"/>
      <c r="D28" s="288"/>
      <c r="E28" s="130"/>
      <c r="F28" s="318"/>
      <c r="G28" s="399"/>
      <c r="H28" s="399"/>
      <c r="I28" s="399"/>
    </row>
    <row r="29" spans="2:9" ht="15.75" x14ac:dyDescent="0.25">
      <c r="B29" s="37" t="s">
        <v>140</v>
      </c>
      <c r="C29" s="38">
        <v>9000</v>
      </c>
      <c r="D29" s="52">
        <f>24879-4200-611</f>
        <v>20068</v>
      </c>
      <c r="E29" s="52">
        <v>25900</v>
      </c>
      <c r="F29" s="318">
        <v>29500</v>
      </c>
      <c r="G29" s="398">
        <v>37250</v>
      </c>
      <c r="H29" s="298">
        <v>40450</v>
      </c>
      <c r="I29" s="298">
        <v>42450</v>
      </c>
    </row>
    <row r="30" spans="2:9" ht="15.75" x14ac:dyDescent="0.25">
      <c r="B30" s="37" t="s">
        <v>141</v>
      </c>
      <c r="C30" s="38">
        <v>9010</v>
      </c>
      <c r="D30" s="52">
        <f>44905-181</f>
        <v>44724</v>
      </c>
      <c r="E30" s="52">
        <v>55900</v>
      </c>
      <c r="F30" s="318">
        <v>62700</v>
      </c>
      <c r="G30" s="398">
        <v>77400</v>
      </c>
      <c r="H30" s="298">
        <v>80500</v>
      </c>
      <c r="I30" s="298">
        <v>82800</v>
      </c>
    </row>
    <row r="31" spans="2:9" s="286" customFormat="1" ht="15.75" x14ac:dyDescent="0.25">
      <c r="B31" s="426" t="s">
        <v>287</v>
      </c>
      <c r="C31" s="38">
        <v>9010</v>
      </c>
      <c r="D31" s="52"/>
      <c r="E31" s="52">
        <v>150</v>
      </c>
      <c r="F31" s="318">
        <v>150</v>
      </c>
      <c r="G31" s="398">
        <v>150</v>
      </c>
      <c r="H31" s="298">
        <v>150</v>
      </c>
      <c r="I31" s="298">
        <v>150</v>
      </c>
    </row>
    <row r="32" spans="2:9" s="286" customFormat="1" ht="15.75" x14ac:dyDescent="0.25">
      <c r="B32" s="426" t="s">
        <v>288</v>
      </c>
      <c r="C32" s="38">
        <v>9010</v>
      </c>
      <c r="D32" s="52"/>
      <c r="E32" s="52">
        <v>-150</v>
      </c>
      <c r="F32" s="318">
        <v>-150</v>
      </c>
      <c r="G32" s="398">
        <v>-150</v>
      </c>
      <c r="H32" s="298">
        <v>-150</v>
      </c>
      <c r="I32" s="298">
        <v>-150</v>
      </c>
    </row>
    <row r="33" spans="2:9" ht="15.75" x14ac:dyDescent="0.25">
      <c r="B33" s="37" t="s">
        <v>25</v>
      </c>
      <c r="C33" s="38">
        <v>9005</v>
      </c>
      <c r="D33" s="466"/>
      <c r="E33" s="52"/>
      <c r="F33" s="318"/>
      <c r="G33" s="398"/>
      <c r="H33" s="298"/>
      <c r="I33" s="298"/>
    </row>
    <row r="34" spans="2:9" ht="15.75" x14ac:dyDescent="0.25">
      <c r="B34" s="37" t="s">
        <v>138</v>
      </c>
      <c r="C34" s="38">
        <v>9020</v>
      </c>
      <c r="D34" s="434">
        <v>617</v>
      </c>
      <c r="E34" s="52">
        <v>600</v>
      </c>
      <c r="F34" s="318">
        <v>600</v>
      </c>
      <c r="G34" s="398">
        <v>600</v>
      </c>
      <c r="H34" s="298">
        <v>600</v>
      </c>
      <c r="I34" s="298">
        <v>600</v>
      </c>
    </row>
    <row r="35" spans="2:9" ht="15.75" x14ac:dyDescent="0.25">
      <c r="B35" s="37" t="s">
        <v>26</v>
      </c>
      <c r="C35" s="38">
        <v>9000</v>
      </c>
      <c r="D35" s="434">
        <v>-1725</v>
      </c>
      <c r="E35" s="52">
        <v>-200</v>
      </c>
      <c r="F35" s="318">
        <v>-200</v>
      </c>
      <c r="G35" s="398">
        <v>-200</v>
      </c>
      <c r="H35" s="298">
        <v>-200</v>
      </c>
      <c r="I35" s="298">
        <v>-200</v>
      </c>
    </row>
    <row r="36" spans="2:9" ht="15.75" x14ac:dyDescent="0.25">
      <c r="B36" s="37" t="s">
        <v>133</v>
      </c>
      <c r="C36" s="38">
        <v>9000</v>
      </c>
      <c r="D36" s="466"/>
      <c r="E36" s="52"/>
      <c r="F36" s="318"/>
      <c r="G36" s="398"/>
      <c r="H36" s="298"/>
      <c r="I36" s="298"/>
    </row>
    <row r="37" spans="2:9" ht="15.75" x14ac:dyDescent="0.25">
      <c r="B37" s="37" t="s">
        <v>27</v>
      </c>
      <c r="C37" s="38">
        <v>9000</v>
      </c>
      <c r="D37" s="434">
        <v>-103</v>
      </c>
      <c r="E37" s="52">
        <v>-50</v>
      </c>
      <c r="F37" s="318">
        <v>-50</v>
      </c>
      <c r="G37" s="398">
        <v>-50</v>
      </c>
      <c r="H37" s="298">
        <v>-50</v>
      </c>
      <c r="I37" s="298">
        <v>-50</v>
      </c>
    </row>
    <row r="38" spans="2:9" ht="15.75" x14ac:dyDescent="0.25">
      <c r="B38" s="37" t="s">
        <v>28</v>
      </c>
      <c r="C38" s="38">
        <v>9000</v>
      </c>
      <c r="D38" s="434">
        <v>-4960</v>
      </c>
      <c r="E38" s="52">
        <v>-3600</v>
      </c>
      <c r="F38" s="318">
        <v>-4200</v>
      </c>
      <c r="G38" s="398">
        <v>-4000</v>
      </c>
      <c r="H38" s="398">
        <v>-4000</v>
      </c>
      <c r="I38" s="398">
        <v>-4000</v>
      </c>
    </row>
    <row r="39" spans="2:9" ht="15.75" x14ac:dyDescent="0.25">
      <c r="B39" s="37" t="s">
        <v>29</v>
      </c>
      <c r="C39" s="38">
        <v>9008</v>
      </c>
      <c r="D39" s="434">
        <v>-918</v>
      </c>
      <c r="E39" s="52">
        <v>-350</v>
      </c>
      <c r="F39" s="318">
        <v>-450</v>
      </c>
      <c r="G39" s="398">
        <v>-450</v>
      </c>
      <c r="H39" s="398">
        <v>-450</v>
      </c>
      <c r="I39" s="398">
        <v>-450</v>
      </c>
    </row>
    <row r="40" spans="2:9" s="286" customFormat="1" ht="15.75" x14ac:dyDescent="0.25">
      <c r="B40" s="37" t="s">
        <v>213</v>
      </c>
      <c r="C40" s="38">
        <v>9009</v>
      </c>
      <c r="D40" s="434">
        <v>-1320</v>
      </c>
      <c r="E40" s="52">
        <v>-660</v>
      </c>
      <c r="F40" s="318">
        <v>-5600</v>
      </c>
      <c r="G40" s="398">
        <v>-660</v>
      </c>
      <c r="H40" s="298">
        <v>-660</v>
      </c>
      <c r="I40" s="298">
        <v>-660</v>
      </c>
    </row>
    <row r="41" spans="2:9" ht="15.75" x14ac:dyDescent="0.25">
      <c r="B41" s="37" t="s">
        <v>214</v>
      </c>
      <c r="C41" s="38">
        <v>9009</v>
      </c>
      <c r="D41" s="434">
        <v>-9007</v>
      </c>
      <c r="E41" s="52">
        <v>-11240</v>
      </c>
      <c r="F41" s="318">
        <v>-11100</v>
      </c>
      <c r="G41" s="398">
        <v>-14700</v>
      </c>
      <c r="H41" s="298">
        <v>-16600</v>
      </c>
      <c r="I41" s="298">
        <v>-16600</v>
      </c>
    </row>
    <row r="42" spans="2:9" ht="15.75" x14ac:dyDescent="0.25">
      <c r="B42" s="37" t="s">
        <v>30</v>
      </c>
      <c r="C42" s="38">
        <v>9009</v>
      </c>
      <c r="D42" s="434">
        <v>-14755</v>
      </c>
      <c r="E42" s="52">
        <v>-16230</v>
      </c>
      <c r="F42" s="318">
        <v>-17700</v>
      </c>
      <c r="G42" s="398">
        <v>-18400</v>
      </c>
      <c r="H42" s="298">
        <v>-19180</v>
      </c>
      <c r="I42" s="298">
        <v>-19200</v>
      </c>
    </row>
    <row r="43" spans="2:9" ht="15.75" x14ac:dyDescent="0.25">
      <c r="B43" s="37" t="s">
        <v>31</v>
      </c>
      <c r="C43" s="38">
        <v>9000</v>
      </c>
      <c r="D43" s="434">
        <v>-1910</v>
      </c>
      <c r="E43" s="52">
        <v>-1800</v>
      </c>
      <c r="F43" s="318">
        <v>-1700</v>
      </c>
      <c r="G43" s="398">
        <v>-1600</v>
      </c>
      <c r="H43" s="298">
        <v>-1500</v>
      </c>
      <c r="I43" s="298">
        <v>-1400</v>
      </c>
    </row>
    <row r="44" spans="2:9" ht="15.75" x14ac:dyDescent="0.25">
      <c r="B44" s="50" t="s">
        <v>32</v>
      </c>
      <c r="C44" s="51">
        <v>9080</v>
      </c>
      <c r="D44" s="434">
        <v>-1084</v>
      </c>
      <c r="E44" s="258">
        <v>-4000</v>
      </c>
      <c r="F44" s="318">
        <v>-2500</v>
      </c>
      <c r="G44" s="398">
        <v>-2500</v>
      </c>
      <c r="H44" s="298">
        <v>-2500</v>
      </c>
      <c r="I44" s="298">
        <v>-2500</v>
      </c>
    </row>
    <row r="45" spans="2:9" ht="15.75" x14ac:dyDescent="0.25">
      <c r="B45" s="44" t="s">
        <v>33</v>
      </c>
      <c r="C45" s="45"/>
      <c r="D45" s="131">
        <f t="shared" ref="D45:I45" si="1">SUM(D29:D44)</f>
        <v>29627</v>
      </c>
      <c r="E45" s="131">
        <f t="shared" si="1"/>
        <v>44270</v>
      </c>
      <c r="F45" s="319">
        <f t="shared" si="1"/>
        <v>49300</v>
      </c>
      <c r="G45" s="332">
        <f t="shared" si="1"/>
        <v>72690</v>
      </c>
      <c r="H45" s="332">
        <f t="shared" si="1"/>
        <v>76410</v>
      </c>
      <c r="I45" s="333">
        <f t="shared" si="1"/>
        <v>80790</v>
      </c>
    </row>
    <row r="46" spans="2:9" ht="15.75" x14ac:dyDescent="0.25">
      <c r="B46" s="47"/>
      <c r="C46" s="48"/>
      <c r="D46" s="35"/>
      <c r="E46" s="104"/>
      <c r="F46" s="320"/>
      <c r="G46" s="307"/>
      <c r="H46" s="307"/>
      <c r="I46" s="308"/>
    </row>
    <row r="47" spans="2:9" ht="15.75" x14ac:dyDescent="0.25">
      <c r="B47" s="54" t="s">
        <v>34</v>
      </c>
      <c r="C47" s="48"/>
      <c r="D47" s="35"/>
      <c r="E47" s="104"/>
      <c r="F47" s="320"/>
      <c r="G47" s="306"/>
      <c r="H47" s="307"/>
      <c r="I47" s="307"/>
    </row>
    <row r="48" spans="2:9" ht="15.75" x14ac:dyDescent="0.25">
      <c r="B48" s="56" t="s">
        <v>165</v>
      </c>
      <c r="C48" s="38" t="s">
        <v>281</v>
      </c>
      <c r="D48" s="432">
        <f>700+4200+611+1220+550+5200+55</f>
        <v>12536</v>
      </c>
      <c r="E48" s="104">
        <v>1140</v>
      </c>
      <c r="F48" s="320">
        <v>0</v>
      </c>
      <c r="G48" s="306">
        <v>0</v>
      </c>
      <c r="H48" s="307">
        <v>0</v>
      </c>
      <c r="I48" s="307">
        <v>0</v>
      </c>
    </row>
    <row r="49" spans="2:12" ht="15.75" x14ac:dyDescent="0.25">
      <c r="B49" s="56" t="s">
        <v>164</v>
      </c>
      <c r="C49" s="38">
        <v>9000</v>
      </c>
      <c r="D49" s="434">
        <v>13</v>
      </c>
      <c r="E49" s="104"/>
      <c r="F49" s="320"/>
      <c r="G49" s="306"/>
      <c r="H49" s="307"/>
      <c r="I49" s="307"/>
    </row>
    <row r="50" spans="2:12" s="286" customFormat="1" ht="15.75" x14ac:dyDescent="0.25">
      <c r="B50" s="90" t="s">
        <v>357</v>
      </c>
      <c r="C50" s="51"/>
      <c r="D50" s="434"/>
      <c r="E50" s="104"/>
      <c r="F50" s="320">
        <v>-500</v>
      </c>
      <c r="G50" s="306"/>
      <c r="H50" s="307"/>
      <c r="I50" s="307"/>
    </row>
    <row r="51" spans="2:12" s="286" customFormat="1" ht="15.75" x14ac:dyDescent="0.25">
      <c r="B51" s="289" t="s">
        <v>165</v>
      </c>
      <c r="C51" s="38">
        <v>8040</v>
      </c>
      <c r="D51" s="434">
        <f>7800</f>
        <v>7800</v>
      </c>
      <c r="E51" s="104"/>
      <c r="F51" s="320"/>
      <c r="G51" s="306"/>
      <c r="H51" s="307"/>
      <c r="I51" s="307"/>
    </row>
    <row r="52" spans="2:12" ht="15.75" x14ac:dyDescent="0.25">
      <c r="B52" s="90" t="s">
        <v>235</v>
      </c>
      <c r="C52" s="51">
        <v>8050</v>
      </c>
      <c r="D52" s="52">
        <f>1500-4300</f>
        <v>-2800</v>
      </c>
      <c r="E52" s="104"/>
      <c r="F52" s="320"/>
      <c r="G52" s="306"/>
      <c r="H52" s="307"/>
      <c r="I52" s="307"/>
    </row>
    <row r="53" spans="2:12" ht="15.75" x14ac:dyDescent="0.25">
      <c r="B53" s="56" t="s">
        <v>152</v>
      </c>
      <c r="C53" s="38">
        <v>9040</v>
      </c>
      <c r="D53" s="434">
        <v>6356</v>
      </c>
      <c r="E53" s="104">
        <v>3800</v>
      </c>
      <c r="F53" s="320">
        <v>0</v>
      </c>
      <c r="G53" s="427"/>
      <c r="H53" s="307"/>
      <c r="I53" s="307"/>
    </row>
    <row r="54" spans="2:12" s="286" customFormat="1" ht="15.75" x14ac:dyDescent="0.25">
      <c r="B54" s="289" t="s">
        <v>203</v>
      </c>
      <c r="C54" s="38" t="s">
        <v>204</v>
      </c>
      <c r="D54" s="52">
        <v>-9192</v>
      </c>
      <c r="E54" s="104">
        <v>-1800</v>
      </c>
      <c r="F54" s="495">
        <v>-975</v>
      </c>
      <c r="G54" s="496">
        <v>-500</v>
      </c>
      <c r="H54" s="307">
        <v>-2010</v>
      </c>
      <c r="I54" s="307"/>
    </row>
    <row r="55" spans="2:12" ht="15.75" x14ac:dyDescent="0.25">
      <c r="B55" s="56" t="s">
        <v>168</v>
      </c>
      <c r="C55" s="38">
        <v>9040</v>
      </c>
      <c r="D55" s="433">
        <f>-28086+9162+34</f>
        <v>-18890</v>
      </c>
      <c r="E55" s="104">
        <f>-13050-5900</f>
        <v>-18950</v>
      </c>
      <c r="F55" s="320">
        <v>-2400</v>
      </c>
      <c r="G55" s="306">
        <f>-13835-2843-4500</f>
        <v>-21178</v>
      </c>
      <c r="H55" s="307">
        <f>-5495-12596</f>
        <v>-18091</v>
      </c>
      <c r="I55" s="307">
        <f>-6900-1400-1000</f>
        <v>-9300</v>
      </c>
    </row>
    <row r="56" spans="2:12" ht="15.75" x14ac:dyDescent="0.25">
      <c r="B56" s="56" t="s">
        <v>156</v>
      </c>
      <c r="C56" s="38">
        <v>9009</v>
      </c>
      <c r="D56" s="52"/>
      <c r="E56" s="104">
        <v>1292</v>
      </c>
      <c r="F56" s="320">
        <v>-4292</v>
      </c>
      <c r="G56" s="306"/>
      <c r="H56" s="307"/>
      <c r="I56" s="307">
        <v>-1697</v>
      </c>
    </row>
    <row r="57" spans="2:12" ht="15.75" x14ac:dyDescent="0.25">
      <c r="B57" s="56" t="s">
        <v>196</v>
      </c>
      <c r="C57" s="38">
        <v>9040</v>
      </c>
      <c r="D57" s="52"/>
      <c r="E57" s="104"/>
      <c r="F57" s="320">
        <v>0</v>
      </c>
      <c r="G57" s="306"/>
      <c r="H57" s="307"/>
      <c r="I57" s="307">
        <v>-17076</v>
      </c>
    </row>
    <row r="58" spans="2:12" ht="15.75" x14ac:dyDescent="0.25">
      <c r="B58" s="289" t="s">
        <v>192</v>
      </c>
      <c r="C58" s="38">
        <v>9040</v>
      </c>
      <c r="D58" s="52"/>
      <c r="E58" s="104">
        <v>-2005</v>
      </c>
      <c r="F58" s="320">
        <v>-1050</v>
      </c>
      <c r="G58" s="306">
        <v>0</v>
      </c>
      <c r="H58" s="307"/>
      <c r="I58" s="307">
        <v>-5500</v>
      </c>
    </row>
    <row r="59" spans="2:12" ht="15.75" x14ac:dyDescent="0.25">
      <c r="B59" s="61" t="s">
        <v>35</v>
      </c>
      <c r="C59" s="45"/>
      <c r="D59" s="132">
        <f t="shared" ref="D59:I59" si="2">SUM(D48:D58)</f>
        <v>-4177</v>
      </c>
      <c r="E59" s="132">
        <f t="shared" si="2"/>
        <v>-16523</v>
      </c>
      <c r="F59" s="321">
        <f t="shared" si="2"/>
        <v>-9217</v>
      </c>
      <c r="G59" s="309">
        <f t="shared" si="2"/>
        <v>-21678</v>
      </c>
      <c r="H59" s="309">
        <f t="shared" si="2"/>
        <v>-20101</v>
      </c>
      <c r="I59" s="334">
        <f t="shared" si="2"/>
        <v>-33573</v>
      </c>
    </row>
    <row r="60" spans="2:12" ht="15.75" x14ac:dyDescent="0.25">
      <c r="B60" s="64" t="s">
        <v>36</v>
      </c>
      <c r="C60" s="38"/>
      <c r="D60" s="39"/>
      <c r="E60" s="52"/>
      <c r="F60" s="423"/>
      <c r="G60" s="424"/>
      <c r="H60" s="425"/>
      <c r="I60" s="425"/>
      <c r="K60" s="1" t="s">
        <v>207</v>
      </c>
      <c r="L60" s="1" t="s">
        <v>210</v>
      </c>
    </row>
    <row r="61" spans="2:12" ht="15.75" x14ac:dyDescent="0.25">
      <c r="B61" s="56" t="s">
        <v>37</v>
      </c>
      <c r="C61" s="38"/>
      <c r="D61" s="435">
        <f>71577-D63</f>
        <v>65266</v>
      </c>
      <c r="E61" s="260">
        <f>+D_Sentr_!C63</f>
        <v>68629</v>
      </c>
      <c r="F61" s="322">
        <f>+D_Sentr_!D63</f>
        <v>73330</v>
      </c>
      <c r="G61" s="336">
        <f>+D_Sentr_!E63</f>
        <v>70499</v>
      </c>
      <c r="H61" s="336">
        <f>+D_Sentr_!F63</f>
        <v>66971</v>
      </c>
      <c r="I61" s="337">
        <f>+D_Sentr_!G63</f>
        <v>68271</v>
      </c>
      <c r="K61" s="3">
        <v>66840</v>
      </c>
      <c r="L61" s="3">
        <f>+K61-E61-E63</f>
        <v>-7253</v>
      </c>
    </row>
    <row r="62" spans="2:12" ht="15.75" x14ac:dyDescent="0.25">
      <c r="B62" s="56" t="s">
        <v>83</v>
      </c>
      <c r="C62" s="38"/>
      <c r="D62" s="435">
        <v>9484</v>
      </c>
      <c r="E62" s="260">
        <f>+'D_Kap 7'!C57</f>
        <v>-1894</v>
      </c>
      <c r="F62" s="322">
        <f>+'D_Kap 7'!D57</f>
        <v>-1846</v>
      </c>
      <c r="G62" s="336">
        <f>+'D_Kap 7'!E57</f>
        <v>2909</v>
      </c>
      <c r="H62" s="336">
        <f>+'D_Kap 7'!F57</f>
        <v>10109</v>
      </c>
      <c r="I62" s="337">
        <f>+'D_Kap 7'!G57</f>
        <v>17464</v>
      </c>
      <c r="K62" s="3">
        <v>6146</v>
      </c>
      <c r="L62" s="3">
        <f>+K62-E62</f>
        <v>8040</v>
      </c>
    </row>
    <row r="63" spans="2:12" ht="15.75" x14ac:dyDescent="0.25">
      <c r="B63" s="37" t="s">
        <v>38</v>
      </c>
      <c r="C63" s="38"/>
      <c r="D63" s="435">
        <f>5275+1036</f>
        <v>6311</v>
      </c>
      <c r="E63" s="260">
        <f>+D_Kirken!C58</f>
        <v>5464</v>
      </c>
      <c r="F63" s="323">
        <f>+D_Kirken!D58</f>
        <v>5414</v>
      </c>
      <c r="G63" s="338">
        <f>+D_Kirken!E58</f>
        <v>5414</v>
      </c>
      <c r="H63" s="338">
        <f>+D_Kirken!F58</f>
        <v>5414</v>
      </c>
      <c r="I63" s="338">
        <f>+D_Kirken!G58</f>
        <v>5414</v>
      </c>
      <c r="K63" s="3"/>
      <c r="L63" s="3"/>
    </row>
    <row r="64" spans="2:12" ht="15.75" x14ac:dyDescent="0.25">
      <c r="B64" s="37" t="s">
        <v>160</v>
      </c>
      <c r="C64" s="38"/>
      <c r="D64" s="435">
        <v>396803</v>
      </c>
      <c r="E64" s="260">
        <f>+'D_Ku-Oppv'!C58</f>
        <v>404997</v>
      </c>
      <c r="F64" s="323">
        <f>+'D_Ku-Oppv'!D58</f>
        <v>406777</v>
      </c>
      <c r="G64" s="338">
        <f>+'D_Ku-Oppv'!E58</f>
        <v>399115</v>
      </c>
      <c r="H64" s="338">
        <f>+'D_Ku-Oppv'!F58</f>
        <v>395222</v>
      </c>
      <c r="I64" s="338">
        <f>+'D_Ku-Oppv'!G58</f>
        <v>395082</v>
      </c>
      <c r="K64" s="3">
        <v>385454</v>
      </c>
      <c r="L64" s="3">
        <f>+K64-E64</f>
        <v>-19543</v>
      </c>
    </row>
    <row r="65" spans="2:12" ht="15.75" x14ac:dyDescent="0.25">
      <c r="B65" s="56" t="s">
        <v>159</v>
      </c>
      <c r="C65" s="38"/>
      <c r="D65" s="435">
        <v>392002</v>
      </c>
      <c r="E65" s="256">
        <f>+D_H_O!C58</f>
        <v>389415</v>
      </c>
      <c r="F65" s="322">
        <f>+D_H_O!D58</f>
        <v>390970</v>
      </c>
      <c r="G65" s="338">
        <f>+D_H_O!E58</f>
        <v>384031</v>
      </c>
      <c r="H65" s="338">
        <f>+D_H_O!F58</f>
        <v>378541</v>
      </c>
      <c r="I65" s="338">
        <f>+D_H_O!G58</f>
        <v>377706</v>
      </c>
      <c r="K65" s="3">
        <v>399080</v>
      </c>
      <c r="L65" s="3">
        <f>+K65-E65</f>
        <v>9665</v>
      </c>
    </row>
    <row r="66" spans="2:12" ht="15.75" x14ac:dyDescent="0.25">
      <c r="B66" s="56" t="s">
        <v>161</v>
      </c>
      <c r="C66" s="38"/>
      <c r="D66" s="435"/>
      <c r="E66" s="256"/>
      <c r="F66" s="322"/>
      <c r="G66" s="338"/>
      <c r="H66" s="338"/>
      <c r="I66" s="338"/>
      <c r="K66" s="3"/>
      <c r="L66" s="3"/>
    </row>
    <row r="67" spans="2:12" ht="15.75" x14ac:dyDescent="0.25">
      <c r="B67" s="59" t="s">
        <v>157</v>
      </c>
      <c r="C67" s="42"/>
      <c r="D67" s="436">
        <v>105335</v>
      </c>
      <c r="E67" s="261">
        <f>+D_Teknisk!C60</f>
        <v>99800</v>
      </c>
      <c r="F67" s="324">
        <f>+D_Teknisk!D60</f>
        <v>94153</v>
      </c>
      <c r="G67" s="339">
        <f>+D_Teknisk!E60</f>
        <v>92810</v>
      </c>
      <c r="H67" s="339">
        <f>+D_Teknisk!F60</f>
        <v>94872</v>
      </c>
      <c r="I67" s="339">
        <f>+D_Teknisk!G60</f>
        <v>96267</v>
      </c>
      <c r="K67" s="3">
        <v>86125</v>
      </c>
      <c r="L67" s="3">
        <f>+K67-E67</f>
        <v>-13675</v>
      </c>
    </row>
    <row r="68" spans="2:12" ht="15.75" x14ac:dyDescent="0.25">
      <c r="B68" s="61" t="s">
        <v>91</v>
      </c>
      <c r="C68" s="45"/>
      <c r="D68" s="46">
        <f t="shared" ref="D68:I68" si="3">SUM(D61:D67)</f>
        <v>975201</v>
      </c>
      <c r="E68" s="262">
        <f t="shared" si="3"/>
        <v>966411</v>
      </c>
      <c r="F68" s="325">
        <f t="shared" si="3"/>
        <v>968798</v>
      </c>
      <c r="G68" s="340">
        <f t="shared" si="3"/>
        <v>954778</v>
      </c>
      <c r="H68" s="340">
        <f t="shared" si="3"/>
        <v>951129</v>
      </c>
      <c r="I68" s="341">
        <f t="shared" si="3"/>
        <v>960204</v>
      </c>
      <c r="J68" s="379" t="s">
        <v>208</v>
      </c>
      <c r="K68" s="3">
        <v>-964817</v>
      </c>
      <c r="L68" s="3">
        <f>+K68-E26</f>
        <v>29341</v>
      </c>
    </row>
    <row r="69" spans="2:12" ht="12.75" customHeight="1" thickBot="1" x14ac:dyDescent="0.3">
      <c r="B69" s="124"/>
      <c r="C69" s="153"/>
      <c r="D69" s="125"/>
      <c r="E69" s="125"/>
      <c r="F69" s="326"/>
      <c r="G69" s="311"/>
      <c r="H69" s="311"/>
      <c r="I69" s="342"/>
      <c r="J69" s="379" t="s">
        <v>209</v>
      </c>
      <c r="K69" s="3">
        <v>21172</v>
      </c>
      <c r="L69" s="3">
        <f>+K69-E45-E59</f>
        <v>-6575</v>
      </c>
    </row>
    <row r="70" spans="2:12" ht="16.5" thickBot="1" x14ac:dyDescent="0.3">
      <c r="B70" s="67" t="s">
        <v>39</v>
      </c>
      <c r="C70" s="68"/>
      <c r="D70" s="70">
        <f t="shared" ref="D70:I70" si="4">+D26+D45+D59+D68</f>
        <v>-2047</v>
      </c>
      <c r="E70" s="70">
        <f t="shared" si="4"/>
        <v>0</v>
      </c>
      <c r="F70" s="301">
        <f t="shared" si="4"/>
        <v>0</v>
      </c>
      <c r="G70" s="299">
        <f t="shared" si="4"/>
        <v>0</v>
      </c>
      <c r="H70" s="300">
        <f t="shared" si="4"/>
        <v>0</v>
      </c>
      <c r="I70" s="300">
        <f t="shared" si="4"/>
        <v>0</v>
      </c>
    </row>
    <row r="71" spans="2:12" ht="18.75" customHeight="1" x14ac:dyDescent="0.2">
      <c r="B71" s="286"/>
      <c r="D71" s="133"/>
    </row>
    <row r="72" spans="2:12" x14ac:dyDescent="0.2">
      <c r="B72" s="380" t="s">
        <v>240</v>
      </c>
      <c r="C72" s="381"/>
      <c r="D72" s="382">
        <f>SUM(F70:I70)</f>
        <v>0</v>
      </c>
    </row>
    <row r="73" spans="2:12" x14ac:dyDescent="0.2">
      <c r="D73" s="133"/>
    </row>
    <row r="74" spans="2:12" x14ac:dyDescent="0.2">
      <c r="D74" s="133"/>
    </row>
    <row r="75" spans="2:12" x14ac:dyDescent="0.2">
      <c r="D75" s="133"/>
    </row>
    <row r="76" spans="2:12" x14ac:dyDescent="0.2">
      <c r="D76" s="264"/>
    </row>
    <row r="77" spans="2:12" x14ac:dyDescent="0.2">
      <c r="D77" s="133"/>
    </row>
    <row r="78" spans="2:12" x14ac:dyDescent="0.2">
      <c r="D78" s="133"/>
    </row>
    <row r="79" spans="2:12" x14ac:dyDescent="0.2">
      <c r="D79" s="133"/>
    </row>
    <row r="80" spans="2:12" x14ac:dyDescent="0.2">
      <c r="D80" s="133"/>
    </row>
    <row r="81" spans="4:4" x14ac:dyDescent="0.2">
      <c r="D81" s="133"/>
    </row>
    <row r="82" spans="4:4" x14ac:dyDescent="0.2">
      <c r="D82" s="133"/>
    </row>
    <row r="83" spans="4:4" x14ac:dyDescent="0.2">
      <c r="D83" s="133"/>
    </row>
    <row r="84" spans="4:4" x14ac:dyDescent="0.2">
      <c r="D84" s="133"/>
    </row>
    <row r="85" spans="4:4" x14ac:dyDescent="0.2">
      <c r="D85" s="133"/>
    </row>
    <row r="86" spans="4:4" x14ac:dyDescent="0.2">
      <c r="D86" s="133"/>
    </row>
  </sheetData>
  <phoneticPr fontId="0" type="noConversion"/>
  <pageMargins left="0.39370078740157483" right="0.78740157480314965" top="0.59055118110236227" bottom="0.78740157480314965" header="0.51181102362204722" footer="0.51181102362204722"/>
  <pageSetup paperSize="9" scale="61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9"/>
  <sheetViews>
    <sheetView zoomScaleNormal="100" zoomScalePageLayoutView="130" workbookViewId="0">
      <pane ySplit="6" topLeftCell="A38" activePane="bottomLeft" state="frozen"/>
      <selection activeCell="A70" sqref="A70"/>
      <selection pane="bottomLeft" activeCell="A58" sqref="A58"/>
    </sheetView>
  </sheetViews>
  <sheetFormatPr baseColWidth="10" defaultColWidth="9.85546875" defaultRowHeight="12.75" x14ac:dyDescent="0.2"/>
  <cols>
    <col min="1" max="1" width="43.7109375" style="134" customWidth="1"/>
    <col min="2" max="2" width="11.28515625" style="135" customWidth="1"/>
    <col min="3" max="3" width="13" style="136" customWidth="1"/>
    <col min="4" max="7" width="11.7109375" style="136" customWidth="1"/>
    <col min="8" max="16384" width="9.85546875" style="134"/>
  </cols>
  <sheetData>
    <row r="1" spans="1:7" ht="15.75" x14ac:dyDescent="0.25">
      <c r="G1" s="137"/>
    </row>
    <row r="2" spans="1:7" ht="26.25" thickBot="1" x14ac:dyDescent="0.4">
      <c r="A2" s="73" t="s">
        <v>37</v>
      </c>
      <c r="B2" s="138"/>
      <c r="C2" s="139"/>
      <c r="D2" s="139"/>
      <c r="E2" s="139"/>
      <c r="F2" s="8"/>
      <c r="G2" s="9" t="s">
        <v>7</v>
      </c>
    </row>
    <row r="3" spans="1:7" ht="19.5" thickTop="1" x14ac:dyDescent="0.3">
      <c r="A3" s="140"/>
      <c r="B3" s="141"/>
      <c r="C3" s="142"/>
      <c r="D3" s="142"/>
      <c r="E3" s="142"/>
      <c r="F3" s="142"/>
      <c r="G3" s="142"/>
    </row>
    <row r="4" spans="1:7" ht="22.5" x14ac:dyDescent="0.3">
      <c r="A4" s="143"/>
      <c r="B4" s="144"/>
      <c r="C4" s="16" t="s">
        <v>40</v>
      </c>
      <c r="D4" s="77"/>
      <c r="E4" s="17" t="s">
        <v>9</v>
      </c>
      <c r="F4" s="18"/>
      <c r="G4" s="19"/>
    </row>
    <row r="5" spans="1:7" ht="18.75" x14ac:dyDescent="0.3">
      <c r="A5" s="145"/>
      <c r="B5" s="146"/>
      <c r="C5" s="23" t="s">
        <v>41</v>
      </c>
      <c r="D5" s="78" t="s">
        <v>12</v>
      </c>
      <c r="E5" s="24"/>
      <c r="F5" s="25"/>
      <c r="G5" s="26"/>
    </row>
    <row r="6" spans="1:7" ht="20.25" x14ac:dyDescent="0.3">
      <c r="A6" s="27" t="s">
        <v>13</v>
      </c>
      <c r="B6" s="147" t="s">
        <v>14</v>
      </c>
      <c r="C6" s="79">
        <v>2019</v>
      </c>
      <c r="D6" s="80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33" t="s">
        <v>42</v>
      </c>
      <c r="B7" s="81"/>
      <c r="C7" s="111">
        <v>66071</v>
      </c>
      <c r="D7" s="343">
        <f>+C63</f>
        <v>68629</v>
      </c>
      <c r="E7" s="346">
        <f>+D7</f>
        <v>68629</v>
      </c>
      <c r="F7" s="347">
        <f>+D7</f>
        <v>68629</v>
      </c>
      <c r="G7" s="347">
        <f>+D7</f>
        <v>68629</v>
      </c>
    </row>
    <row r="8" spans="1:7" ht="15.75" x14ac:dyDescent="0.25">
      <c r="A8" s="62" t="s">
        <v>241</v>
      </c>
      <c r="B8" s="81"/>
      <c r="C8" s="86">
        <v>-2700</v>
      </c>
      <c r="D8" s="344">
        <f>-C62</f>
        <v>-1510</v>
      </c>
      <c r="E8" s="307">
        <f>-C62</f>
        <v>-1510</v>
      </c>
      <c r="F8" s="298">
        <f>-C62</f>
        <v>-1510</v>
      </c>
      <c r="G8" s="298">
        <f>-C62</f>
        <v>-1510</v>
      </c>
    </row>
    <row r="9" spans="1:7" ht="15.75" x14ac:dyDescent="0.25">
      <c r="A9" s="62"/>
      <c r="B9" s="81"/>
      <c r="C9" s="86"/>
      <c r="D9" s="344"/>
      <c r="E9" s="307"/>
      <c r="F9" s="298"/>
      <c r="G9" s="298"/>
    </row>
    <row r="10" spans="1:7" ht="15.75" x14ac:dyDescent="0.25">
      <c r="A10" s="33" t="s">
        <v>43</v>
      </c>
      <c r="B10" s="81"/>
      <c r="C10" s="86"/>
      <c r="D10" s="344"/>
      <c r="E10" s="348"/>
      <c r="F10" s="347"/>
      <c r="G10" s="347"/>
    </row>
    <row r="11" spans="1:7" ht="15.75" x14ac:dyDescent="0.25">
      <c r="A11" s="90" t="s">
        <v>134</v>
      </c>
      <c r="B11" s="51" t="s">
        <v>88</v>
      </c>
      <c r="C11" s="52">
        <f>958+154+44+364+99</f>
        <v>1619</v>
      </c>
      <c r="D11" s="344">
        <f>70+533-154-132+78-44+656-364+177-99</f>
        <v>721</v>
      </c>
      <c r="E11" s="307">
        <f>+D11</f>
        <v>721</v>
      </c>
      <c r="F11" s="307">
        <f t="shared" ref="F11:G11" si="0">+E11</f>
        <v>721</v>
      </c>
      <c r="G11" s="307">
        <f t="shared" si="0"/>
        <v>721</v>
      </c>
    </row>
    <row r="12" spans="1:7" ht="15.75" x14ac:dyDescent="0.25">
      <c r="A12" s="90" t="s">
        <v>297</v>
      </c>
      <c r="B12" s="51"/>
      <c r="C12" s="52"/>
      <c r="D12" s="473">
        <v>-1105</v>
      </c>
      <c r="E12" s="474">
        <v>-1105</v>
      </c>
      <c r="F12" s="471">
        <v>-1105</v>
      </c>
      <c r="G12" s="471">
        <v>-1105</v>
      </c>
    </row>
    <row r="13" spans="1:7" ht="15.75" x14ac:dyDescent="0.25">
      <c r="A13" s="90" t="s">
        <v>167</v>
      </c>
      <c r="B13" s="51" t="s">
        <v>88</v>
      </c>
      <c r="C13" s="52">
        <v>650</v>
      </c>
      <c r="D13" s="344"/>
      <c r="E13" s="307"/>
      <c r="F13" s="298"/>
      <c r="G13" s="298"/>
    </row>
    <row r="14" spans="1:7" ht="15.75" x14ac:dyDescent="0.25">
      <c r="A14" s="90" t="s">
        <v>243</v>
      </c>
      <c r="B14" s="51" t="s">
        <v>88</v>
      </c>
      <c r="C14" s="52">
        <v>-3521</v>
      </c>
      <c r="D14" s="404"/>
      <c r="E14" s="307"/>
      <c r="F14" s="298"/>
      <c r="G14" s="298"/>
    </row>
    <row r="15" spans="1:7" ht="15.75" x14ac:dyDescent="0.25">
      <c r="A15" s="90" t="s">
        <v>221</v>
      </c>
      <c r="B15" s="51">
        <v>1331</v>
      </c>
      <c r="C15" s="52">
        <v>200</v>
      </c>
      <c r="D15" s="344"/>
      <c r="E15" s="307"/>
      <c r="F15" s="298"/>
      <c r="G15" s="298"/>
    </row>
    <row r="16" spans="1:7" ht="15.75" x14ac:dyDescent="0.25">
      <c r="A16" s="90" t="s">
        <v>223</v>
      </c>
      <c r="B16" s="51">
        <v>1203</v>
      </c>
      <c r="C16" s="52">
        <v>700</v>
      </c>
      <c r="D16" s="344"/>
      <c r="E16" s="307"/>
      <c r="F16" s="298"/>
      <c r="G16" s="298"/>
    </row>
    <row r="17" spans="1:7" ht="15.75" x14ac:dyDescent="0.25">
      <c r="A17" s="90" t="s">
        <v>250</v>
      </c>
      <c r="B17" s="51">
        <v>1203</v>
      </c>
      <c r="C17" s="52">
        <v>800</v>
      </c>
      <c r="D17" s="404"/>
      <c r="E17" s="307"/>
      <c r="F17" s="298">
        <v>-800</v>
      </c>
      <c r="G17" s="298">
        <v>-800</v>
      </c>
    </row>
    <row r="18" spans="1:7" ht="15.75" x14ac:dyDescent="0.25">
      <c r="A18" s="90" t="s">
        <v>259</v>
      </c>
      <c r="B18" s="438">
        <v>1900</v>
      </c>
      <c r="C18" s="52">
        <v>-110</v>
      </c>
      <c r="D18" s="404">
        <v>-640</v>
      </c>
      <c r="E18" s="401">
        <v>-1821</v>
      </c>
      <c r="F18" s="401">
        <v>-3099</v>
      </c>
      <c r="G18" s="401">
        <v>-3099</v>
      </c>
    </row>
    <row r="19" spans="1:7" ht="15.75" x14ac:dyDescent="0.25">
      <c r="A19" s="90" t="s">
        <v>317</v>
      </c>
      <c r="B19" s="438">
        <v>1041</v>
      </c>
      <c r="C19" s="52">
        <v>140</v>
      </c>
      <c r="D19" s="473">
        <v>130</v>
      </c>
      <c r="E19" s="419">
        <v>130</v>
      </c>
      <c r="F19" s="419">
        <v>130</v>
      </c>
      <c r="G19" s="419">
        <v>130</v>
      </c>
    </row>
    <row r="20" spans="1:7" ht="15.75" x14ac:dyDescent="0.25">
      <c r="A20" s="90" t="s">
        <v>298</v>
      </c>
      <c r="B20" s="438">
        <v>1042</v>
      </c>
      <c r="C20" s="52">
        <v>280</v>
      </c>
      <c r="D20" s="404"/>
      <c r="E20" s="401"/>
      <c r="F20" s="401"/>
      <c r="G20" s="401"/>
    </row>
    <row r="21" spans="1:7" ht="15.75" x14ac:dyDescent="0.25">
      <c r="A21" s="90" t="s">
        <v>299</v>
      </c>
      <c r="B21" s="438">
        <v>1082</v>
      </c>
      <c r="C21" s="52">
        <v>800</v>
      </c>
      <c r="D21" s="404"/>
      <c r="E21" s="401"/>
      <c r="F21" s="401"/>
      <c r="G21" s="401"/>
    </row>
    <row r="22" spans="1:7" ht="15.75" x14ac:dyDescent="0.25">
      <c r="A22" s="90" t="s">
        <v>300</v>
      </c>
      <c r="B22" s="438">
        <v>1101</v>
      </c>
      <c r="C22" s="52">
        <v>40</v>
      </c>
      <c r="D22" s="404"/>
      <c r="E22" s="401"/>
      <c r="F22" s="401"/>
      <c r="G22" s="401"/>
    </row>
    <row r="23" spans="1:7" ht="15.75" x14ac:dyDescent="0.25">
      <c r="A23" s="90" t="s">
        <v>301</v>
      </c>
      <c r="B23" s="438">
        <v>1300</v>
      </c>
      <c r="C23" s="52">
        <v>150</v>
      </c>
      <c r="D23" s="404">
        <v>150</v>
      </c>
      <c r="E23" s="401">
        <v>150</v>
      </c>
      <c r="F23" s="401">
        <v>150</v>
      </c>
      <c r="G23" s="401">
        <v>150</v>
      </c>
    </row>
    <row r="24" spans="1:7" ht="15.75" x14ac:dyDescent="0.25">
      <c r="A24" s="90" t="s">
        <v>302</v>
      </c>
      <c r="B24" s="438">
        <v>1300</v>
      </c>
      <c r="C24" s="52"/>
      <c r="D24" s="404"/>
      <c r="E24" s="401">
        <v>150</v>
      </c>
      <c r="F24" s="401">
        <v>300</v>
      </c>
      <c r="G24" s="401">
        <v>300</v>
      </c>
    </row>
    <row r="25" spans="1:7" ht="15.75" x14ac:dyDescent="0.25">
      <c r="A25" s="90" t="s">
        <v>303</v>
      </c>
      <c r="B25" s="438">
        <v>1310</v>
      </c>
      <c r="C25" s="52">
        <v>800</v>
      </c>
      <c r="D25" s="404">
        <v>100</v>
      </c>
      <c r="E25" s="401">
        <v>400</v>
      </c>
      <c r="F25" s="401">
        <v>300</v>
      </c>
      <c r="G25" s="401">
        <v>300</v>
      </c>
    </row>
    <row r="26" spans="1:7" ht="15.75" x14ac:dyDescent="0.25">
      <c r="A26" s="90" t="s">
        <v>304</v>
      </c>
      <c r="B26" s="438">
        <v>1330</v>
      </c>
      <c r="C26" s="52">
        <v>225</v>
      </c>
      <c r="D26" s="404"/>
      <c r="E26" s="401"/>
      <c r="F26" s="401"/>
      <c r="G26" s="401"/>
    </row>
    <row r="27" spans="1:7" ht="15.75" x14ac:dyDescent="0.25">
      <c r="A27" s="90" t="s">
        <v>305</v>
      </c>
      <c r="B27" s="438">
        <v>1330</v>
      </c>
      <c r="C27" s="52">
        <v>200</v>
      </c>
      <c r="D27" s="404"/>
      <c r="E27" s="401"/>
      <c r="F27" s="401"/>
      <c r="G27" s="401"/>
    </row>
    <row r="28" spans="1:7" ht="15.75" x14ac:dyDescent="0.25">
      <c r="A28" s="90" t="s">
        <v>306</v>
      </c>
      <c r="B28" s="438">
        <v>1331</v>
      </c>
      <c r="C28" s="52">
        <v>700</v>
      </c>
      <c r="D28" s="404"/>
      <c r="E28" s="401"/>
      <c r="F28" s="401"/>
      <c r="G28" s="401"/>
    </row>
    <row r="29" spans="1:7" ht="15.75" x14ac:dyDescent="0.25">
      <c r="A29" s="90" t="s">
        <v>251</v>
      </c>
      <c r="B29" s="438" t="s">
        <v>88</v>
      </c>
      <c r="C29" s="52"/>
      <c r="D29" s="404"/>
      <c r="E29" s="401">
        <v>-750</v>
      </c>
      <c r="F29" s="401">
        <v>-750</v>
      </c>
      <c r="G29" s="401">
        <v>-750</v>
      </c>
    </row>
    <row r="30" spans="1:7" ht="15.75" x14ac:dyDescent="0.25">
      <c r="A30" s="90" t="s">
        <v>307</v>
      </c>
      <c r="B30" s="438">
        <v>1900</v>
      </c>
      <c r="C30" s="52">
        <v>75</v>
      </c>
      <c r="D30" s="404"/>
      <c r="E30" s="401"/>
      <c r="F30" s="401"/>
      <c r="G30" s="401"/>
    </row>
    <row r="31" spans="1:7" ht="15.75" x14ac:dyDescent="0.25">
      <c r="A31" s="90" t="s">
        <v>314</v>
      </c>
      <c r="B31" s="438">
        <v>1290</v>
      </c>
      <c r="C31" s="52"/>
      <c r="D31" s="473">
        <v>100</v>
      </c>
      <c r="E31" s="419">
        <v>100</v>
      </c>
      <c r="F31" s="419">
        <v>100</v>
      </c>
      <c r="G31" s="419">
        <v>100</v>
      </c>
    </row>
    <row r="32" spans="1:7" ht="15.75" x14ac:dyDescent="0.25">
      <c r="A32" s="90" t="s">
        <v>311</v>
      </c>
      <c r="B32" s="438">
        <v>1000</v>
      </c>
      <c r="C32" s="52"/>
      <c r="D32" s="473">
        <v>295</v>
      </c>
      <c r="E32" s="419">
        <v>295</v>
      </c>
      <c r="F32" s="419">
        <v>295</v>
      </c>
      <c r="G32" s="419">
        <v>295</v>
      </c>
    </row>
    <row r="33" spans="1:7" ht="15.75" x14ac:dyDescent="0.25">
      <c r="A33" s="90" t="s">
        <v>312</v>
      </c>
      <c r="B33" s="438">
        <v>1310</v>
      </c>
      <c r="C33" s="52"/>
      <c r="D33" s="473">
        <v>350</v>
      </c>
      <c r="E33" s="419">
        <v>700</v>
      </c>
      <c r="F33" s="419">
        <v>700</v>
      </c>
      <c r="G33" s="419">
        <v>700</v>
      </c>
    </row>
    <row r="34" spans="1:7" ht="15.75" x14ac:dyDescent="0.25">
      <c r="A34" s="90" t="s">
        <v>439</v>
      </c>
      <c r="B34" s="438">
        <v>1231</v>
      </c>
      <c r="C34" s="52"/>
      <c r="D34" s="473">
        <v>300</v>
      </c>
      <c r="E34" s="419">
        <v>300</v>
      </c>
      <c r="F34" s="419">
        <v>300</v>
      </c>
      <c r="G34" s="419">
        <v>300</v>
      </c>
    </row>
    <row r="35" spans="1:7" ht="15.75" x14ac:dyDescent="0.25">
      <c r="A35" s="90" t="s">
        <v>315</v>
      </c>
      <c r="B35" s="438">
        <v>1310</v>
      </c>
      <c r="C35" s="52"/>
      <c r="D35" s="473">
        <v>300</v>
      </c>
      <c r="E35" s="419">
        <v>300</v>
      </c>
      <c r="F35" s="419">
        <v>300</v>
      </c>
      <c r="G35" s="419">
        <v>300</v>
      </c>
    </row>
    <row r="36" spans="1:7" ht="15.75" x14ac:dyDescent="0.25">
      <c r="A36" s="90" t="s">
        <v>468</v>
      </c>
      <c r="B36" s="438">
        <v>1310</v>
      </c>
      <c r="C36" s="52"/>
      <c r="D36" s="473">
        <v>-100</v>
      </c>
      <c r="E36" s="419">
        <v>-100</v>
      </c>
      <c r="F36" s="419">
        <v>-100</v>
      </c>
      <c r="G36" s="419">
        <v>-100</v>
      </c>
    </row>
    <row r="37" spans="1:7" ht="15.75" x14ac:dyDescent="0.25">
      <c r="A37" s="90" t="s">
        <v>316</v>
      </c>
      <c r="B37" s="438">
        <v>1133</v>
      </c>
      <c r="C37" s="52"/>
      <c r="D37" s="473">
        <v>60</v>
      </c>
      <c r="E37" s="419">
        <v>60</v>
      </c>
      <c r="F37" s="419">
        <v>60</v>
      </c>
      <c r="G37" s="419">
        <v>60</v>
      </c>
    </row>
    <row r="38" spans="1:7" ht="15.75" x14ac:dyDescent="0.25">
      <c r="A38" s="90" t="s">
        <v>466</v>
      </c>
      <c r="B38" s="438">
        <v>1310</v>
      </c>
      <c r="C38" s="52"/>
      <c r="D38" s="473">
        <v>500</v>
      </c>
      <c r="E38" s="419">
        <v>1000</v>
      </c>
      <c r="F38" s="419">
        <v>1500</v>
      </c>
      <c r="G38" s="419">
        <v>2000</v>
      </c>
    </row>
    <row r="39" spans="1:7" ht="15.75" x14ac:dyDescent="0.25">
      <c r="A39" s="90" t="s">
        <v>356</v>
      </c>
      <c r="B39" s="438">
        <v>1111</v>
      </c>
      <c r="C39" s="52"/>
      <c r="D39" s="473">
        <v>500</v>
      </c>
      <c r="E39" s="419">
        <v>850</v>
      </c>
      <c r="F39" s="419">
        <v>850</v>
      </c>
      <c r="G39" s="419">
        <v>850</v>
      </c>
    </row>
    <row r="40" spans="1:7" ht="15.75" x14ac:dyDescent="0.25">
      <c r="A40" s="90" t="s">
        <v>437</v>
      </c>
      <c r="B40" s="438">
        <v>1111</v>
      </c>
      <c r="C40" s="52"/>
      <c r="D40" s="473"/>
      <c r="E40" s="419"/>
      <c r="F40" s="419"/>
      <c r="G40" s="419"/>
    </row>
    <row r="41" spans="1:7" ht="16.5" thickBot="1" x14ac:dyDescent="0.3">
      <c r="A41" s="103" t="s">
        <v>45</v>
      </c>
      <c r="B41" s="51"/>
      <c r="C41" s="444">
        <f>SUM(C10:C40)</f>
        <v>3748</v>
      </c>
      <c r="D41" s="344"/>
      <c r="E41" s="267"/>
      <c r="F41" s="267"/>
      <c r="G41" s="267"/>
    </row>
    <row r="42" spans="1:7" ht="16.5" thickTop="1" x14ac:dyDescent="0.25">
      <c r="A42" s="103"/>
      <c r="B42" s="51"/>
      <c r="C42" s="455"/>
      <c r="D42" s="344"/>
      <c r="E42" s="267"/>
      <c r="F42" s="267"/>
      <c r="G42" s="267"/>
    </row>
    <row r="43" spans="1:7" ht="15.75" x14ac:dyDescent="0.25">
      <c r="A43" s="103" t="s">
        <v>46</v>
      </c>
      <c r="B43" s="51"/>
      <c r="C43" s="52"/>
      <c r="D43" s="344" t="s">
        <v>137</v>
      </c>
      <c r="E43" s="267"/>
      <c r="F43" s="267"/>
      <c r="G43" s="267"/>
    </row>
    <row r="44" spans="1:7" ht="15.75" x14ac:dyDescent="0.25">
      <c r="A44" s="90" t="s">
        <v>150</v>
      </c>
      <c r="B44" s="51">
        <v>1031</v>
      </c>
      <c r="C44" s="52">
        <v>800</v>
      </c>
      <c r="D44" s="344"/>
      <c r="E44" s="267">
        <v>800</v>
      </c>
      <c r="F44" s="267"/>
      <c r="G44" s="437">
        <v>800</v>
      </c>
    </row>
    <row r="45" spans="1:7" ht="15.75" x14ac:dyDescent="0.25">
      <c r="A45" s="90" t="s">
        <v>187</v>
      </c>
      <c r="B45" s="51">
        <v>1114</v>
      </c>
      <c r="C45" s="52">
        <v>500</v>
      </c>
      <c r="D45" s="344"/>
      <c r="E45" s="267"/>
      <c r="F45" s="267"/>
      <c r="G45" s="267"/>
    </row>
    <row r="46" spans="1:7" ht="15.75" x14ac:dyDescent="0.25">
      <c r="A46" s="90" t="s">
        <v>205</v>
      </c>
      <c r="B46" s="438">
        <v>1087</v>
      </c>
      <c r="C46" s="52">
        <v>2500</v>
      </c>
      <c r="D46" s="344">
        <v>2500</v>
      </c>
      <c r="E46" s="267">
        <v>2500</v>
      </c>
      <c r="F46" s="267">
        <v>2500</v>
      </c>
      <c r="G46" s="267">
        <v>2500</v>
      </c>
    </row>
    <row r="47" spans="1:7" ht="15.75" x14ac:dyDescent="0.25">
      <c r="A47" s="90" t="s">
        <v>206</v>
      </c>
      <c r="B47" s="438">
        <v>1087</v>
      </c>
      <c r="C47" s="52">
        <v>-2500</v>
      </c>
      <c r="D47" s="344">
        <v>-2500</v>
      </c>
      <c r="E47" s="267">
        <v>-2500</v>
      </c>
      <c r="F47" s="267">
        <v>-2500</v>
      </c>
      <c r="G47" s="267">
        <v>-2500</v>
      </c>
    </row>
    <row r="48" spans="1:7" ht="15.75" x14ac:dyDescent="0.25">
      <c r="A48" s="90" t="s">
        <v>249</v>
      </c>
      <c r="B48" s="438">
        <v>1300</v>
      </c>
      <c r="C48" s="52">
        <v>710</v>
      </c>
      <c r="D48" s="404"/>
      <c r="E48" s="401">
        <v>-710</v>
      </c>
      <c r="F48" s="401"/>
      <c r="G48" s="401"/>
    </row>
    <row r="49" spans="1:7" ht="15.75" x14ac:dyDescent="0.25">
      <c r="A49" s="90" t="s">
        <v>253</v>
      </c>
      <c r="B49" s="438">
        <v>1300</v>
      </c>
      <c r="C49" s="52">
        <v>-710</v>
      </c>
      <c r="D49" s="404"/>
      <c r="E49" s="401">
        <v>710</v>
      </c>
      <c r="F49" s="401"/>
      <c r="G49" s="401"/>
    </row>
    <row r="50" spans="1:7" s="420" customFormat="1" ht="15.75" x14ac:dyDescent="0.25">
      <c r="A50" s="90" t="s">
        <v>308</v>
      </c>
      <c r="B50" s="438">
        <v>1112</v>
      </c>
      <c r="C50" s="52">
        <v>110</v>
      </c>
      <c r="D50" s="404"/>
      <c r="E50" s="401"/>
      <c r="F50" s="401"/>
      <c r="G50" s="401"/>
    </row>
    <row r="51" spans="1:7" s="420" customFormat="1" ht="15.75" x14ac:dyDescent="0.25">
      <c r="A51" s="90" t="s">
        <v>432</v>
      </c>
      <c r="B51" s="438">
        <v>1107</v>
      </c>
      <c r="C51" s="52">
        <v>200</v>
      </c>
      <c r="D51" s="404"/>
      <c r="E51" s="401"/>
      <c r="F51" s="401"/>
      <c r="G51" s="401"/>
    </row>
    <row r="52" spans="1:7" s="420" customFormat="1" ht="15.75" x14ac:dyDescent="0.25">
      <c r="A52" s="90" t="s">
        <v>433</v>
      </c>
      <c r="B52" s="438">
        <v>1107</v>
      </c>
      <c r="C52" s="52">
        <v>-200</v>
      </c>
      <c r="D52" s="404"/>
      <c r="E52" s="401"/>
      <c r="F52" s="401"/>
      <c r="G52" s="401"/>
    </row>
    <row r="53" spans="1:7" s="420" customFormat="1" ht="15.75" x14ac:dyDescent="0.25">
      <c r="A53" s="90" t="s">
        <v>263</v>
      </c>
      <c r="B53" s="438">
        <v>1090</v>
      </c>
      <c r="C53" s="451">
        <v>100</v>
      </c>
      <c r="D53" s="404"/>
      <c r="E53" s="401"/>
      <c r="F53" s="401"/>
      <c r="G53" s="401"/>
    </row>
    <row r="54" spans="1:7" s="420" customFormat="1" ht="15.75" x14ac:dyDescent="0.25">
      <c r="A54" s="90" t="s">
        <v>309</v>
      </c>
      <c r="B54" s="438" t="s">
        <v>310</v>
      </c>
      <c r="C54" s="52"/>
      <c r="D54" s="473">
        <v>200</v>
      </c>
      <c r="E54" s="419"/>
      <c r="F54" s="401"/>
      <c r="G54" s="401"/>
    </row>
    <row r="55" spans="1:7" s="420" customFormat="1" ht="15.75" x14ac:dyDescent="0.25">
      <c r="A55" s="90" t="s">
        <v>313</v>
      </c>
      <c r="B55" s="438">
        <v>1233</v>
      </c>
      <c r="C55" s="52"/>
      <c r="D55" s="473">
        <v>200</v>
      </c>
      <c r="E55" s="419"/>
      <c r="F55" s="401"/>
      <c r="G55" s="401"/>
    </row>
    <row r="56" spans="1:7" s="420" customFormat="1" ht="15.75" x14ac:dyDescent="0.25">
      <c r="A56" s="90" t="s">
        <v>318</v>
      </c>
      <c r="B56" s="438">
        <v>1330</v>
      </c>
      <c r="C56" s="52"/>
      <c r="D56" s="473">
        <v>100</v>
      </c>
      <c r="E56" s="419"/>
      <c r="F56" s="401"/>
      <c r="G56" s="401"/>
    </row>
    <row r="57" spans="1:7" s="420" customFormat="1" ht="15.75" x14ac:dyDescent="0.25">
      <c r="A57" s="90" t="s">
        <v>360</v>
      </c>
      <c r="B57" s="438">
        <v>1111</v>
      </c>
      <c r="C57" s="52"/>
      <c r="D57" s="473">
        <v>400</v>
      </c>
      <c r="E57" s="419">
        <v>800</v>
      </c>
      <c r="F57" s="401"/>
      <c r="G57" s="401"/>
    </row>
    <row r="58" spans="1:7" s="420" customFormat="1" ht="15.75" x14ac:dyDescent="0.25">
      <c r="A58" s="90" t="s">
        <v>359</v>
      </c>
      <c r="B58" s="438">
        <v>1111</v>
      </c>
      <c r="C58" s="52"/>
      <c r="D58" s="473">
        <v>200</v>
      </c>
      <c r="E58" s="419">
        <v>400</v>
      </c>
      <c r="F58" s="401"/>
      <c r="G58" s="401"/>
    </row>
    <row r="59" spans="1:7" s="420" customFormat="1" ht="15.75" x14ac:dyDescent="0.25">
      <c r="A59" s="90" t="s">
        <v>467</v>
      </c>
      <c r="B59" s="438">
        <v>1111</v>
      </c>
      <c r="C59" s="52"/>
      <c r="D59" s="473">
        <v>3000</v>
      </c>
      <c r="E59" s="419"/>
      <c r="F59" s="401"/>
      <c r="G59" s="401"/>
    </row>
    <row r="60" spans="1:7" s="420" customFormat="1" ht="15.75" x14ac:dyDescent="0.25">
      <c r="A60" s="90" t="s">
        <v>358</v>
      </c>
      <c r="B60" s="438">
        <v>1111</v>
      </c>
      <c r="C60" s="52"/>
      <c r="D60" s="473">
        <v>200</v>
      </c>
      <c r="E60" s="419"/>
      <c r="F60" s="401"/>
      <c r="G60" s="401"/>
    </row>
    <row r="61" spans="1:7" s="420" customFormat="1" ht="15.75" x14ac:dyDescent="0.25">
      <c r="A61" s="90" t="s">
        <v>361</v>
      </c>
      <c r="B61" s="438">
        <v>1111</v>
      </c>
      <c r="C61" s="52"/>
      <c r="D61" s="473">
        <v>250</v>
      </c>
      <c r="E61" s="419"/>
      <c r="F61" s="401"/>
      <c r="G61" s="401"/>
    </row>
    <row r="62" spans="1:7" ht="16.5" thickBot="1" x14ac:dyDescent="0.3">
      <c r="A62" s="103" t="s">
        <v>47</v>
      </c>
      <c r="B62" s="51"/>
      <c r="C62" s="444">
        <f>SUM(C43:C61)</f>
        <v>1510</v>
      </c>
      <c r="D62" s="344"/>
      <c r="E62" s="267"/>
      <c r="F62" s="267"/>
      <c r="G62" s="267"/>
    </row>
    <row r="63" spans="1:7" ht="17.25" thickTop="1" thickBot="1" x14ac:dyDescent="0.3">
      <c r="A63" s="67" t="s">
        <v>48</v>
      </c>
      <c r="B63" s="68"/>
      <c r="C63" s="148">
        <f>+C7+C41+C62+C8</f>
        <v>68629</v>
      </c>
      <c r="D63" s="345">
        <f>SUM(D7:D62)</f>
        <v>73330</v>
      </c>
      <c r="E63" s="349">
        <f>SUM(E7:E62)</f>
        <v>70499</v>
      </c>
      <c r="F63" s="349">
        <f>SUM(F7:F62)</f>
        <v>66971</v>
      </c>
      <c r="G63" s="349">
        <f>SUM(G7:G62)</f>
        <v>68271</v>
      </c>
    </row>
    <row r="69" spans="5:5" x14ac:dyDescent="0.2">
      <c r="E69" s="15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4" firstPageNumber="0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8"/>
  <sheetViews>
    <sheetView topLeftCell="A20" workbookViewId="0">
      <selection activeCell="G58" sqref="G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73" t="s">
        <v>38</v>
      </c>
      <c r="B2" s="6"/>
      <c r="C2" s="7"/>
      <c r="D2" s="7"/>
      <c r="E2" s="7"/>
      <c r="F2" s="8"/>
      <c r="G2" s="9" t="s">
        <v>7</v>
      </c>
    </row>
    <row r="3" spans="1:7" ht="18.75" thickTop="1" x14ac:dyDescent="0.25">
      <c r="A3" s="10"/>
      <c r="B3" s="11"/>
      <c r="C3" s="12"/>
      <c r="D3" s="12"/>
      <c r="E3" s="12"/>
      <c r="F3" s="12"/>
      <c r="G3" s="12"/>
    </row>
    <row r="4" spans="1:7" ht="22.5" x14ac:dyDescent="0.3">
      <c r="A4" s="13"/>
      <c r="B4" s="14"/>
      <c r="C4" s="16" t="s">
        <v>40</v>
      </c>
      <c r="D4" s="77"/>
      <c r="E4" s="17" t="s">
        <v>9</v>
      </c>
      <c r="F4" s="18"/>
      <c r="G4" s="19"/>
    </row>
    <row r="5" spans="1:7" ht="18.75" x14ac:dyDescent="0.3">
      <c r="A5" s="20"/>
      <c r="B5" s="21"/>
      <c r="C5" s="23" t="s">
        <v>41</v>
      </c>
      <c r="D5" s="78" t="s">
        <v>12</v>
      </c>
      <c r="E5" s="24"/>
      <c r="F5" s="25"/>
      <c r="G5" s="26"/>
    </row>
    <row r="6" spans="1:7" ht="20.25" x14ac:dyDescent="0.3">
      <c r="A6" s="27" t="s">
        <v>13</v>
      </c>
      <c r="B6" s="28" t="s">
        <v>14</v>
      </c>
      <c r="C6" s="79">
        <v>2019</v>
      </c>
      <c r="D6" s="80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33" t="s">
        <v>42</v>
      </c>
      <c r="B7" s="48">
        <v>1150</v>
      </c>
      <c r="C7" s="105">
        <v>5275</v>
      </c>
      <c r="D7" s="106">
        <f>+C58</f>
        <v>5464</v>
      </c>
      <c r="E7" s="85">
        <f>+D7</f>
        <v>5464</v>
      </c>
      <c r="F7" s="85">
        <f>+D7</f>
        <v>5464</v>
      </c>
      <c r="G7" s="85">
        <f>+D7</f>
        <v>5464</v>
      </c>
    </row>
    <row r="8" spans="1:7" ht="15.75" x14ac:dyDescent="0.25">
      <c r="A8" s="62" t="s">
        <v>241</v>
      </c>
      <c r="B8" s="48">
        <v>1150</v>
      </c>
      <c r="C8" s="105">
        <v>0</v>
      </c>
      <c r="D8" s="107">
        <f>-C17</f>
        <v>-50</v>
      </c>
      <c r="E8" s="36">
        <f>-C17</f>
        <v>-50</v>
      </c>
      <c r="F8" s="36">
        <f>-C17</f>
        <v>-50</v>
      </c>
      <c r="G8" s="36">
        <f>-C17</f>
        <v>-50</v>
      </c>
    </row>
    <row r="9" spans="1:7" ht="15.75" x14ac:dyDescent="0.25">
      <c r="A9" s="62"/>
      <c r="B9" s="48"/>
      <c r="C9" s="105"/>
      <c r="D9" s="107"/>
      <c r="E9" s="36"/>
      <c r="F9" s="36"/>
      <c r="G9" s="36"/>
    </row>
    <row r="10" spans="1:7" ht="15.75" x14ac:dyDescent="0.25">
      <c r="A10" s="33" t="s">
        <v>43</v>
      </c>
      <c r="B10" s="48"/>
      <c r="C10" s="105"/>
      <c r="D10" s="107"/>
      <c r="E10" s="36"/>
      <c r="F10" s="36"/>
      <c r="G10" s="36"/>
    </row>
    <row r="11" spans="1:7" s="286" customFormat="1" ht="15.75" x14ac:dyDescent="0.25">
      <c r="A11" s="62" t="s">
        <v>217</v>
      </c>
      <c r="B11" s="48"/>
      <c r="C11" s="35">
        <v>100</v>
      </c>
      <c r="D11" s="107"/>
      <c r="E11" s="36"/>
      <c r="F11" s="36"/>
      <c r="G11" s="36"/>
    </row>
    <row r="12" spans="1:7" ht="15.75" x14ac:dyDescent="0.25">
      <c r="A12" s="62" t="s">
        <v>136</v>
      </c>
      <c r="B12" s="48">
        <v>1150</v>
      </c>
      <c r="C12" s="35">
        <v>39</v>
      </c>
      <c r="D12" s="107"/>
      <c r="E12" s="36"/>
      <c r="F12" s="36"/>
      <c r="G12" s="36"/>
    </row>
    <row r="13" spans="1:7" s="110" customFormat="1" ht="16.5" thickBot="1" x14ac:dyDescent="0.3">
      <c r="A13" s="64" t="s">
        <v>51</v>
      </c>
      <c r="B13" s="118"/>
      <c r="C13" s="92">
        <f>SUM(C10:C12)</f>
        <v>139</v>
      </c>
      <c r="D13" s="108"/>
      <c r="E13" s="109"/>
      <c r="F13" s="109"/>
      <c r="G13" s="109"/>
    </row>
    <row r="14" spans="1:7" ht="16.5" thickTop="1" x14ac:dyDescent="0.25">
      <c r="A14" s="56"/>
      <c r="B14" s="38"/>
      <c r="C14" s="39"/>
      <c r="D14" s="91"/>
      <c r="E14" s="58"/>
      <c r="F14" s="58"/>
      <c r="G14" s="58"/>
    </row>
    <row r="15" spans="1:7" ht="15.75" x14ac:dyDescent="0.25">
      <c r="A15" s="64" t="s">
        <v>46</v>
      </c>
      <c r="B15" s="38"/>
      <c r="C15" s="39"/>
      <c r="D15" s="91"/>
      <c r="E15" s="58"/>
      <c r="F15" s="58"/>
      <c r="G15" s="58"/>
    </row>
    <row r="16" spans="1:7" ht="15.75" x14ac:dyDescent="0.25">
      <c r="A16" s="289" t="s">
        <v>150</v>
      </c>
      <c r="B16" s="38">
        <v>1150</v>
      </c>
      <c r="C16" s="39">
        <v>50</v>
      </c>
      <c r="D16" s="439"/>
      <c r="E16" s="58"/>
      <c r="F16" s="58"/>
      <c r="G16" s="58"/>
    </row>
    <row r="17" spans="1:7" s="110" customFormat="1" ht="16.5" thickBot="1" x14ac:dyDescent="0.3">
      <c r="A17" s="64" t="s">
        <v>52</v>
      </c>
      <c r="B17" s="118"/>
      <c r="C17" s="92">
        <f>SUM(C15:C16)</f>
        <v>50</v>
      </c>
      <c r="D17" s="108"/>
      <c r="E17" s="109"/>
      <c r="F17" s="109"/>
      <c r="G17" s="109"/>
    </row>
    <row r="18" spans="1:7" ht="16.5" thickTop="1" x14ac:dyDescent="0.25">
      <c r="A18" s="151"/>
      <c r="B18" s="38"/>
      <c r="C18" s="35"/>
      <c r="D18" s="91"/>
      <c r="E18" s="58"/>
      <c r="F18" s="58"/>
      <c r="G18" s="58"/>
    </row>
    <row r="19" spans="1:7" ht="15.75" x14ac:dyDescent="0.25">
      <c r="A19" s="151"/>
      <c r="B19" s="38"/>
      <c r="C19" s="39"/>
      <c r="D19" s="91"/>
      <c r="E19" s="58"/>
      <c r="F19" s="58"/>
      <c r="G19" s="58"/>
    </row>
    <row r="20" spans="1:7" ht="15.75" x14ac:dyDescent="0.25">
      <c r="A20" s="150"/>
      <c r="B20" s="159"/>
      <c r="C20" s="40"/>
      <c r="D20" s="91"/>
      <c r="E20" s="58"/>
      <c r="F20" s="58"/>
      <c r="G20" s="58"/>
    </row>
    <row r="21" spans="1:7" ht="15.75" x14ac:dyDescent="0.25">
      <c r="A21" s="150"/>
      <c r="B21" s="159"/>
      <c r="C21" s="40"/>
      <c r="D21" s="91"/>
      <c r="E21" s="58"/>
      <c r="F21" s="58"/>
      <c r="G21" s="58"/>
    </row>
    <row r="22" spans="1:7" ht="15.75" x14ac:dyDescent="0.25">
      <c r="A22" s="150"/>
      <c r="B22" s="159"/>
      <c r="C22" s="40"/>
      <c r="D22" s="91"/>
      <c r="E22" s="58"/>
      <c r="F22" s="58"/>
      <c r="G22" s="58"/>
    </row>
    <row r="23" spans="1:7" ht="15.75" x14ac:dyDescent="0.25">
      <c r="A23" s="150"/>
      <c r="B23" s="159"/>
      <c r="C23" s="40"/>
      <c r="D23" s="91"/>
      <c r="E23" s="58"/>
      <c r="F23" s="58"/>
      <c r="G23" s="58"/>
    </row>
    <row r="24" spans="1:7" ht="15.75" x14ac:dyDescent="0.25">
      <c r="A24" s="150"/>
      <c r="B24" s="159"/>
      <c r="C24" s="40"/>
      <c r="D24" s="91"/>
      <c r="E24" s="58"/>
      <c r="F24" s="58"/>
      <c r="G24" s="58"/>
    </row>
    <row r="25" spans="1:7" ht="15.75" x14ac:dyDescent="0.25">
      <c r="A25" s="150"/>
      <c r="B25" s="159"/>
      <c r="C25" s="40"/>
      <c r="D25" s="91"/>
      <c r="E25" s="58"/>
      <c r="F25" s="58"/>
      <c r="G25" s="58"/>
    </row>
    <row r="26" spans="1:7" ht="15.75" x14ac:dyDescent="0.25">
      <c r="A26" s="150"/>
      <c r="B26" s="159"/>
      <c r="C26" s="40"/>
      <c r="D26" s="91"/>
      <c r="E26" s="58"/>
      <c r="F26" s="58"/>
      <c r="G26" s="58"/>
    </row>
    <row r="27" spans="1:7" ht="15.75" x14ac:dyDescent="0.25">
      <c r="A27" s="150"/>
      <c r="B27" s="159"/>
      <c r="C27" s="40"/>
      <c r="D27" s="91"/>
      <c r="E27" s="58"/>
      <c r="F27" s="58"/>
      <c r="G27" s="58"/>
    </row>
    <row r="28" spans="1:7" ht="15.75" x14ac:dyDescent="0.25">
      <c r="A28" s="150"/>
      <c r="B28" s="159"/>
      <c r="C28" s="40"/>
      <c r="D28" s="91"/>
      <c r="E28" s="58"/>
      <c r="F28" s="58"/>
      <c r="G28" s="58"/>
    </row>
    <row r="29" spans="1:7" ht="15.75" x14ac:dyDescent="0.25">
      <c r="A29" s="150"/>
      <c r="B29" s="159"/>
      <c r="C29" s="40"/>
      <c r="D29" s="91"/>
      <c r="E29" s="58"/>
      <c r="F29" s="58"/>
      <c r="G29" s="58"/>
    </row>
    <row r="30" spans="1:7" ht="15.75" x14ac:dyDescent="0.25">
      <c r="A30" s="150"/>
      <c r="B30" s="159"/>
      <c r="C30" s="40"/>
      <c r="D30" s="91"/>
      <c r="E30" s="58"/>
      <c r="F30" s="58"/>
      <c r="G30" s="58"/>
    </row>
    <row r="31" spans="1:7" ht="15.75" x14ac:dyDescent="0.25">
      <c r="A31" s="150"/>
      <c r="B31" s="159"/>
      <c r="C31" s="40"/>
      <c r="D31" s="91"/>
      <c r="E31" s="58"/>
      <c r="F31" s="58"/>
      <c r="G31" s="58"/>
    </row>
    <row r="32" spans="1:7" ht="15.75" x14ac:dyDescent="0.25">
      <c r="A32" s="150"/>
      <c r="B32" s="159"/>
      <c r="C32" s="40"/>
      <c r="D32" s="91"/>
      <c r="E32" s="58"/>
      <c r="F32" s="58"/>
      <c r="G32" s="58"/>
    </row>
    <row r="33" spans="1:7" s="286" customFormat="1" ht="15.75" x14ac:dyDescent="0.25">
      <c r="A33" s="150"/>
      <c r="B33" s="159"/>
      <c r="C33" s="40"/>
      <c r="D33" s="91"/>
      <c r="E33" s="402"/>
      <c r="F33" s="402"/>
      <c r="G33" s="402"/>
    </row>
    <row r="34" spans="1:7" s="286" customFormat="1" ht="15.75" x14ac:dyDescent="0.25">
      <c r="A34" s="150"/>
      <c r="B34" s="159"/>
      <c r="C34" s="40"/>
      <c r="D34" s="91"/>
      <c r="E34" s="402"/>
      <c r="F34" s="402"/>
      <c r="G34" s="402"/>
    </row>
    <row r="35" spans="1:7" s="286" customFormat="1" ht="15.75" x14ac:dyDescent="0.25">
      <c r="A35" s="150"/>
      <c r="B35" s="159"/>
      <c r="C35" s="40"/>
      <c r="D35" s="91"/>
      <c r="E35" s="402"/>
      <c r="F35" s="402"/>
      <c r="G35" s="402"/>
    </row>
    <row r="36" spans="1:7" ht="15.75" x14ac:dyDescent="0.25">
      <c r="A36" s="150"/>
      <c r="B36" s="159"/>
      <c r="C36" s="40"/>
      <c r="D36" s="91"/>
      <c r="E36" s="58"/>
      <c r="F36" s="58"/>
      <c r="G36" s="58"/>
    </row>
    <row r="37" spans="1:7" ht="15.75" x14ac:dyDescent="0.25">
      <c r="A37" s="150"/>
      <c r="B37" s="159"/>
      <c r="C37" s="40"/>
      <c r="D37" s="91"/>
      <c r="E37" s="58"/>
      <c r="F37" s="58"/>
      <c r="G37" s="58"/>
    </row>
    <row r="38" spans="1:7" ht="15.75" x14ac:dyDescent="0.25">
      <c r="A38" s="150"/>
      <c r="B38" s="159"/>
      <c r="C38" s="40"/>
      <c r="D38" s="91"/>
      <c r="E38" s="58"/>
      <c r="F38" s="58"/>
      <c r="G38" s="58"/>
    </row>
    <row r="39" spans="1:7" ht="15.75" x14ac:dyDescent="0.25">
      <c r="A39" s="150"/>
      <c r="B39" s="159"/>
      <c r="C39" s="40"/>
      <c r="D39" s="91"/>
      <c r="E39" s="58"/>
      <c r="F39" s="58"/>
      <c r="G39" s="58"/>
    </row>
    <row r="40" spans="1:7" ht="15.75" x14ac:dyDescent="0.25">
      <c r="A40" s="150"/>
      <c r="B40" s="159"/>
      <c r="C40" s="40"/>
      <c r="D40" s="91"/>
      <c r="E40" s="58"/>
      <c r="F40" s="58"/>
      <c r="G40" s="58"/>
    </row>
    <row r="41" spans="1:7" ht="15.75" x14ac:dyDescent="0.25">
      <c r="A41" s="150"/>
      <c r="B41" s="159"/>
      <c r="C41" s="40"/>
      <c r="D41" s="91"/>
      <c r="E41" s="58"/>
      <c r="F41" s="58"/>
      <c r="G41" s="58"/>
    </row>
    <row r="42" spans="1:7" ht="15.75" x14ac:dyDescent="0.25">
      <c r="A42" s="150"/>
      <c r="B42" s="159"/>
      <c r="C42" s="40"/>
      <c r="D42" s="91"/>
      <c r="E42" s="58"/>
      <c r="F42" s="58"/>
      <c r="G42" s="58"/>
    </row>
    <row r="43" spans="1:7" ht="15.75" x14ac:dyDescent="0.25">
      <c r="A43" s="150"/>
      <c r="B43" s="159"/>
      <c r="C43" s="40"/>
      <c r="D43" s="91"/>
      <c r="E43" s="58"/>
      <c r="F43" s="58"/>
      <c r="G43" s="58"/>
    </row>
    <row r="44" spans="1:7" s="286" customFormat="1" ht="15.75" x14ac:dyDescent="0.25">
      <c r="A44" s="150"/>
      <c r="B44" s="159"/>
      <c r="C44" s="40"/>
      <c r="D44" s="91"/>
      <c r="E44" s="402"/>
      <c r="F44" s="402"/>
      <c r="G44" s="402"/>
    </row>
    <row r="45" spans="1:7" ht="15.75" x14ac:dyDescent="0.25">
      <c r="A45" s="150"/>
      <c r="B45" s="159"/>
      <c r="C45" s="40"/>
      <c r="D45" s="91"/>
      <c r="E45" s="58"/>
      <c r="F45" s="58"/>
      <c r="G45" s="58"/>
    </row>
    <row r="46" spans="1:7" ht="15.75" x14ac:dyDescent="0.25">
      <c r="A46" s="150"/>
      <c r="B46" s="159"/>
      <c r="C46" s="40"/>
      <c r="D46" s="91"/>
      <c r="E46" s="58"/>
      <c r="F46" s="58"/>
      <c r="G46" s="58"/>
    </row>
    <row r="47" spans="1:7" ht="15.75" x14ac:dyDescent="0.25">
      <c r="A47" s="150"/>
      <c r="B47" s="159"/>
      <c r="C47" s="40"/>
      <c r="D47" s="91"/>
      <c r="E47" s="58"/>
      <c r="F47" s="58"/>
      <c r="G47" s="58"/>
    </row>
    <row r="48" spans="1:7" ht="15.75" x14ac:dyDescent="0.25">
      <c r="A48" s="150"/>
      <c r="B48" s="159"/>
      <c r="C48" s="40"/>
      <c r="D48" s="91"/>
      <c r="E48" s="58"/>
      <c r="F48" s="58"/>
      <c r="G48" s="58"/>
    </row>
    <row r="49" spans="1:7" ht="15.75" x14ac:dyDescent="0.25">
      <c r="A49" s="150"/>
      <c r="B49" s="159"/>
      <c r="C49" s="40"/>
      <c r="D49" s="91"/>
      <c r="E49" s="58"/>
      <c r="F49" s="58"/>
      <c r="G49" s="58"/>
    </row>
    <row r="50" spans="1:7" ht="15.75" x14ac:dyDescent="0.25">
      <c r="A50" s="150"/>
      <c r="B50" s="159"/>
      <c r="C50" s="40"/>
      <c r="D50" s="91"/>
      <c r="E50" s="58"/>
      <c r="F50" s="58"/>
      <c r="G50" s="58"/>
    </row>
    <row r="51" spans="1:7" ht="15.75" x14ac:dyDescent="0.25">
      <c r="A51" s="150"/>
      <c r="B51" s="159"/>
      <c r="C51" s="40"/>
      <c r="D51" s="91"/>
      <c r="E51" s="58"/>
      <c r="F51" s="58"/>
      <c r="G51" s="58"/>
    </row>
    <row r="52" spans="1:7" s="286" customFormat="1" ht="15.75" x14ac:dyDescent="0.25">
      <c r="A52" s="150"/>
      <c r="B52" s="159"/>
      <c r="C52" s="40"/>
      <c r="D52" s="91"/>
      <c r="E52" s="402"/>
      <c r="F52" s="402"/>
      <c r="G52" s="402"/>
    </row>
    <row r="53" spans="1:7" ht="15.75" x14ac:dyDescent="0.25">
      <c r="A53" s="150"/>
      <c r="B53" s="159"/>
      <c r="C53" s="40"/>
      <c r="D53" s="91"/>
      <c r="E53" s="58"/>
      <c r="F53" s="58"/>
      <c r="G53" s="58"/>
    </row>
    <row r="54" spans="1:7" ht="15.75" x14ac:dyDescent="0.25">
      <c r="A54" s="150"/>
      <c r="B54" s="159"/>
      <c r="C54" s="40"/>
      <c r="D54" s="91"/>
      <c r="E54" s="58"/>
      <c r="F54" s="58"/>
      <c r="G54" s="58"/>
    </row>
    <row r="55" spans="1:7" ht="15.75" x14ac:dyDescent="0.25">
      <c r="A55" s="151"/>
      <c r="B55" s="38"/>
      <c r="C55" s="39"/>
      <c r="D55" s="91"/>
      <c r="E55" s="63"/>
      <c r="F55" s="58"/>
      <c r="G55" s="58"/>
    </row>
    <row r="56" spans="1:7" ht="15.75" x14ac:dyDescent="0.25">
      <c r="A56" s="151"/>
      <c r="B56" s="38"/>
      <c r="C56" s="39"/>
      <c r="D56" s="91"/>
      <c r="E56" s="63"/>
      <c r="F56" s="58"/>
      <c r="G56" s="58"/>
    </row>
    <row r="57" spans="1:7" ht="16.5" thickBot="1" x14ac:dyDescent="0.3">
      <c r="A57" s="152"/>
      <c r="B57" s="42"/>
      <c r="C57" s="43"/>
      <c r="D57" s="96"/>
      <c r="E57" s="60"/>
      <c r="F57" s="60"/>
      <c r="G57" s="97"/>
    </row>
    <row r="58" spans="1:7" ht="16.5" thickBot="1" x14ac:dyDescent="0.3">
      <c r="A58" s="98" t="s">
        <v>48</v>
      </c>
      <c r="B58" s="99"/>
      <c r="C58" s="101">
        <f>+C13+C17+C7+C8</f>
        <v>5464</v>
      </c>
      <c r="D58" s="102">
        <f>SUM(D7:D57)</f>
        <v>5414</v>
      </c>
      <c r="E58" s="71">
        <f>SUM(E7:E57)</f>
        <v>5414</v>
      </c>
      <c r="F58" s="71">
        <f>SUM(F7:F57)</f>
        <v>5414</v>
      </c>
      <c r="G58" s="71">
        <f>SUM(G7:G57)</f>
        <v>5414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7"/>
  <sheetViews>
    <sheetView workbookViewId="0">
      <selection activeCell="A26" sqref="A26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72" customWidth="1"/>
    <col min="3" max="3" width="13" style="3" customWidth="1"/>
    <col min="4" max="7" width="11.7109375" style="3" customWidth="1"/>
    <col min="8" max="16384" width="9.85546875" style="1"/>
  </cols>
  <sheetData>
    <row r="1" spans="1:8" ht="15" x14ac:dyDescent="0.2">
      <c r="G1" s="5"/>
    </row>
    <row r="2" spans="1:8" ht="26.25" thickBot="1" x14ac:dyDescent="0.4">
      <c r="A2" s="73" t="s">
        <v>49</v>
      </c>
      <c r="B2" s="74"/>
      <c r="C2" s="7"/>
      <c r="D2" s="7"/>
      <c r="E2" s="7"/>
      <c r="F2" s="8"/>
      <c r="G2" s="9" t="s">
        <v>7</v>
      </c>
    </row>
    <row r="3" spans="1:8" ht="18.75" thickTop="1" x14ac:dyDescent="0.25">
      <c r="A3" s="10"/>
      <c r="B3" s="75"/>
      <c r="C3" s="12"/>
      <c r="D3" s="12"/>
      <c r="E3" s="12"/>
      <c r="F3" s="12"/>
      <c r="G3" s="12"/>
    </row>
    <row r="4" spans="1:8" ht="22.5" x14ac:dyDescent="0.3">
      <c r="A4" s="270"/>
      <c r="B4" s="76"/>
      <c r="C4" s="16" t="s">
        <v>40</v>
      </c>
      <c r="D4" s="77"/>
      <c r="E4" s="17" t="s">
        <v>9</v>
      </c>
      <c r="F4" s="18"/>
      <c r="G4" s="19"/>
    </row>
    <row r="5" spans="1:8" ht="18.75" x14ac:dyDescent="0.3">
      <c r="A5" s="271"/>
      <c r="B5" s="21"/>
      <c r="C5" s="23" t="s">
        <v>41</v>
      </c>
      <c r="D5" s="78" t="s">
        <v>12</v>
      </c>
      <c r="E5" s="24"/>
      <c r="F5" s="25"/>
      <c r="G5" s="26"/>
    </row>
    <row r="6" spans="1:8" ht="20.25" x14ac:dyDescent="0.3">
      <c r="A6" s="252" t="s">
        <v>13</v>
      </c>
      <c r="B6" s="28" t="s">
        <v>14</v>
      </c>
      <c r="C6" s="79">
        <v>2019</v>
      </c>
      <c r="D6" s="80">
        <v>2020</v>
      </c>
      <c r="E6" s="31">
        <v>2021</v>
      </c>
      <c r="F6" s="32">
        <v>2022</v>
      </c>
      <c r="G6" s="32">
        <v>2023</v>
      </c>
    </row>
    <row r="7" spans="1:8" ht="15.75" x14ac:dyDescent="0.25">
      <c r="A7" s="272" t="s">
        <v>42</v>
      </c>
      <c r="B7" s="81"/>
      <c r="C7" s="82">
        <v>7706</v>
      </c>
      <c r="D7" s="83">
        <f>+C57</f>
        <v>-1894</v>
      </c>
      <c r="E7" s="84">
        <f>D7</f>
        <v>-1894</v>
      </c>
      <c r="F7" s="85">
        <f>E7</f>
        <v>-1894</v>
      </c>
      <c r="G7" s="85">
        <f>F7</f>
        <v>-1894</v>
      </c>
    </row>
    <row r="8" spans="1:8" ht="15.75" x14ac:dyDescent="0.25">
      <c r="A8" s="62" t="s">
        <v>241</v>
      </c>
      <c r="B8" s="81"/>
      <c r="C8" s="86">
        <v>20720</v>
      </c>
      <c r="D8" s="87">
        <f>-C27</f>
        <v>18500</v>
      </c>
      <c r="E8" s="53">
        <f>-C27</f>
        <v>18500</v>
      </c>
      <c r="F8" s="36">
        <f>-C27</f>
        <v>18500</v>
      </c>
      <c r="G8" s="36">
        <f>-C27</f>
        <v>18500</v>
      </c>
    </row>
    <row r="9" spans="1:8" ht="15.75" x14ac:dyDescent="0.25">
      <c r="A9" s="272"/>
      <c r="B9" s="81"/>
      <c r="C9" s="86"/>
      <c r="D9" s="87"/>
      <c r="E9" s="88"/>
      <c r="F9" s="85"/>
      <c r="G9" s="85"/>
    </row>
    <row r="10" spans="1:8" ht="15.75" x14ac:dyDescent="0.25">
      <c r="A10" s="272" t="s">
        <v>50</v>
      </c>
      <c r="B10" s="160"/>
      <c r="C10" s="161"/>
      <c r="D10" s="87"/>
      <c r="E10" s="53"/>
      <c r="F10" s="36"/>
      <c r="G10" s="36"/>
    </row>
    <row r="11" spans="1:8" s="157" customFormat="1" ht="15.75" x14ac:dyDescent="0.25">
      <c r="A11" s="273" t="s">
        <v>237</v>
      </c>
      <c r="B11" s="48">
        <v>7430</v>
      </c>
      <c r="C11" s="403">
        <v>1200</v>
      </c>
      <c r="D11" s="91"/>
      <c r="E11" s="307"/>
      <c r="F11" s="298"/>
      <c r="G11" s="298"/>
    </row>
    <row r="12" spans="1:8" s="157" customFormat="1" ht="15.75" x14ac:dyDescent="0.25">
      <c r="A12" s="273" t="s">
        <v>279</v>
      </c>
      <c r="B12" s="48">
        <v>7430</v>
      </c>
      <c r="C12" s="403">
        <f>-6965+110</f>
        <v>-6855</v>
      </c>
      <c r="D12" s="91"/>
      <c r="E12" s="307"/>
      <c r="F12" s="298"/>
      <c r="G12" s="298"/>
    </row>
    <row r="13" spans="1:8" s="157" customFormat="1" ht="15.75" x14ac:dyDescent="0.25">
      <c r="A13" s="273" t="s">
        <v>294</v>
      </c>
      <c r="B13" s="48">
        <v>7410</v>
      </c>
      <c r="C13" s="403">
        <v>-284</v>
      </c>
      <c r="D13" s="359"/>
      <c r="E13" s="307"/>
      <c r="F13" s="298"/>
      <c r="G13" s="298"/>
    </row>
    <row r="14" spans="1:8" s="286" customFormat="1" ht="15.75" x14ac:dyDescent="0.25">
      <c r="A14" s="475" t="s">
        <v>425</v>
      </c>
      <c r="B14" s="438">
        <v>7431</v>
      </c>
      <c r="C14" s="403"/>
      <c r="D14" s="477"/>
      <c r="E14" s="474">
        <v>-4000</v>
      </c>
      <c r="F14" s="474">
        <v>-4000</v>
      </c>
      <c r="G14" s="474">
        <v>-4000</v>
      </c>
      <c r="H14" s="157"/>
    </row>
    <row r="15" spans="1:8" s="157" customFormat="1" ht="15.75" x14ac:dyDescent="0.25">
      <c r="A15" s="273" t="s">
        <v>176</v>
      </c>
      <c r="B15" s="48">
        <v>7490</v>
      </c>
      <c r="C15" s="249">
        <f>-7678-14251-416-1572-74-847-816-227</f>
        <v>-25881</v>
      </c>
      <c r="D15" s="478">
        <f>-74-2437+1572-22276+14251+132-766-137+74-1529+847-1475+816-520-295-300</f>
        <v>-12117</v>
      </c>
      <c r="E15" s="474">
        <f>+D15</f>
        <v>-12117</v>
      </c>
      <c r="F15" s="474">
        <f t="shared" ref="F15:G15" si="0">+E15</f>
        <v>-12117</v>
      </c>
      <c r="G15" s="474">
        <f t="shared" si="0"/>
        <v>-12117</v>
      </c>
    </row>
    <row r="16" spans="1:8" s="157" customFormat="1" ht="15.75" x14ac:dyDescent="0.25">
      <c r="A16" s="273" t="s">
        <v>188</v>
      </c>
      <c r="B16" s="48">
        <v>7490</v>
      </c>
      <c r="C16" s="249">
        <v>20000</v>
      </c>
      <c r="D16" s="477">
        <v>30000</v>
      </c>
      <c r="E16" s="474">
        <v>30000</v>
      </c>
      <c r="F16" s="471">
        <v>30000</v>
      </c>
      <c r="G16" s="471">
        <v>30000</v>
      </c>
    </row>
    <row r="17" spans="1:7" ht="16.5" thickBot="1" x14ac:dyDescent="0.3">
      <c r="A17" s="274" t="s">
        <v>51</v>
      </c>
      <c r="B17" s="118"/>
      <c r="C17" s="263">
        <f>SUM(C10:C16)</f>
        <v>-11820</v>
      </c>
      <c r="D17" s="344"/>
      <c r="E17" s="307"/>
      <c r="F17" s="298"/>
      <c r="G17" s="298"/>
    </row>
    <row r="18" spans="1:7" ht="16.5" thickTop="1" x14ac:dyDescent="0.25">
      <c r="A18" s="275"/>
      <c r="B18" s="38"/>
      <c r="C18" s="104"/>
      <c r="D18" s="359"/>
      <c r="E18" s="307"/>
      <c r="F18" s="298"/>
      <c r="G18" s="298"/>
    </row>
    <row r="19" spans="1:7" ht="15.75" x14ac:dyDescent="0.25">
      <c r="A19" s="274" t="s">
        <v>46</v>
      </c>
      <c r="B19" s="38"/>
      <c r="C19" s="39"/>
      <c r="D19" s="344"/>
      <c r="E19" s="307"/>
      <c r="F19" s="298"/>
      <c r="G19" s="298"/>
    </row>
    <row r="20" spans="1:7" ht="15.75" x14ac:dyDescent="0.25">
      <c r="A20" s="273" t="s">
        <v>3</v>
      </c>
      <c r="B20" s="48">
        <v>7430</v>
      </c>
      <c r="C20" s="249"/>
      <c r="D20" s="359"/>
      <c r="E20" s="307"/>
      <c r="F20" s="298"/>
      <c r="G20" s="298"/>
    </row>
    <row r="21" spans="1:7" s="286" customFormat="1" ht="15.75" x14ac:dyDescent="0.25">
      <c r="A21" s="273" t="s">
        <v>278</v>
      </c>
      <c r="B21" s="48">
        <v>7430</v>
      </c>
      <c r="C21" s="403">
        <f>-6500</f>
        <v>-6500</v>
      </c>
      <c r="D21" s="359"/>
      <c r="E21" s="307"/>
      <c r="F21" s="298"/>
      <c r="G21" s="298"/>
    </row>
    <row r="22" spans="1:7" ht="15.75" x14ac:dyDescent="0.25">
      <c r="A22" s="273" t="s">
        <v>148</v>
      </c>
      <c r="B22" s="48">
        <v>7431</v>
      </c>
      <c r="C22" s="249">
        <v>2500</v>
      </c>
      <c r="D22" s="478">
        <v>-4675</v>
      </c>
      <c r="E22" s="474">
        <v>-3365</v>
      </c>
      <c r="F22" s="471">
        <v>-3400</v>
      </c>
      <c r="G22" s="471">
        <v>-3400</v>
      </c>
    </row>
    <row r="23" spans="1:7" s="286" customFormat="1" ht="15.75" x14ac:dyDescent="0.25">
      <c r="A23" s="475" t="s">
        <v>435</v>
      </c>
      <c r="B23" s="438">
        <v>7431</v>
      </c>
      <c r="C23" s="403"/>
      <c r="D23" s="477">
        <v>-60</v>
      </c>
      <c r="E23" s="474">
        <v>585</v>
      </c>
      <c r="F23" s="471">
        <v>1020</v>
      </c>
      <c r="G23" s="471">
        <v>1575</v>
      </c>
    </row>
    <row r="24" spans="1:7" ht="15.75" x14ac:dyDescent="0.25">
      <c r="A24" s="475" t="s">
        <v>149</v>
      </c>
      <c r="B24" s="438">
        <v>7431</v>
      </c>
      <c r="C24" s="249">
        <v>-25500</v>
      </c>
      <c r="D24" s="477">
        <v>-47700</v>
      </c>
      <c r="E24" s="474">
        <v>-47700</v>
      </c>
      <c r="F24" s="474">
        <v>-47700</v>
      </c>
      <c r="G24" s="474">
        <v>-47700</v>
      </c>
    </row>
    <row r="25" spans="1:7" s="286" customFormat="1" ht="15.75" x14ac:dyDescent="0.25">
      <c r="A25" s="475" t="s">
        <v>444</v>
      </c>
      <c r="B25" s="438">
        <v>7490</v>
      </c>
      <c r="C25" s="403"/>
      <c r="D25" s="478"/>
      <c r="E25" s="474"/>
      <c r="F25" s="471"/>
      <c r="G25" s="471"/>
    </row>
    <row r="26" spans="1:7" ht="15.75" x14ac:dyDescent="0.25">
      <c r="A26" s="475" t="s">
        <v>436</v>
      </c>
      <c r="B26" s="438">
        <v>7431</v>
      </c>
      <c r="C26" s="249">
        <v>11000</v>
      </c>
      <c r="D26" s="477">
        <v>16100</v>
      </c>
      <c r="E26" s="474">
        <v>22900</v>
      </c>
      <c r="F26" s="474">
        <v>29700</v>
      </c>
      <c r="G26" s="474">
        <v>36500</v>
      </c>
    </row>
    <row r="27" spans="1:7" ht="16.5" thickBot="1" x14ac:dyDescent="0.3">
      <c r="A27" s="274" t="s">
        <v>52</v>
      </c>
      <c r="B27" s="51"/>
      <c r="C27" s="476">
        <f>SUM(C19:C26)</f>
        <v>-18500</v>
      </c>
      <c r="D27" s="477"/>
      <c r="E27" s="437"/>
      <c r="F27" s="471"/>
      <c r="G27" s="437"/>
    </row>
    <row r="28" spans="1:7" ht="16.5" thickTop="1" x14ac:dyDescent="0.25">
      <c r="A28" s="276"/>
      <c r="B28" s="51"/>
      <c r="C28" s="104"/>
      <c r="D28" s="359"/>
      <c r="E28" s="267"/>
      <c r="F28" s="267"/>
      <c r="G28" s="267"/>
    </row>
    <row r="29" spans="1:7" ht="14.25" customHeight="1" x14ac:dyDescent="0.25">
      <c r="A29" s="276"/>
      <c r="B29" s="51"/>
      <c r="C29" s="52"/>
      <c r="D29" s="359"/>
      <c r="E29" s="267"/>
      <c r="F29" s="267"/>
      <c r="G29" s="267"/>
    </row>
    <row r="30" spans="1:7" ht="15.75" x14ac:dyDescent="0.25">
      <c r="A30" s="276"/>
      <c r="B30" s="51"/>
      <c r="C30" s="52"/>
      <c r="D30" s="359"/>
      <c r="E30" s="58"/>
      <c r="F30" s="58"/>
      <c r="G30" s="58"/>
    </row>
    <row r="31" spans="1:7" ht="15.75" x14ac:dyDescent="0.25">
      <c r="A31" s="276"/>
      <c r="B31" s="38"/>
      <c r="C31" s="39"/>
      <c r="D31" s="359"/>
      <c r="E31" s="58"/>
      <c r="F31" s="58"/>
      <c r="G31" s="58"/>
    </row>
    <row r="32" spans="1:7" ht="15.75" x14ac:dyDescent="0.25">
      <c r="A32" s="276"/>
      <c r="B32" s="38"/>
      <c r="C32" s="39"/>
      <c r="D32" s="359"/>
      <c r="E32" s="58"/>
      <c r="F32" s="58"/>
      <c r="G32" s="58"/>
    </row>
    <row r="33" spans="1:7" ht="15.75" x14ac:dyDescent="0.25">
      <c r="A33" s="276"/>
      <c r="B33" s="38"/>
      <c r="C33" s="39"/>
      <c r="D33" s="91"/>
      <c r="E33" s="58"/>
      <c r="F33" s="58"/>
      <c r="G33" s="58"/>
    </row>
    <row r="34" spans="1:7" ht="15.75" x14ac:dyDescent="0.25">
      <c r="A34" s="276"/>
      <c r="B34" s="38"/>
      <c r="C34" s="39"/>
      <c r="D34" s="91"/>
      <c r="E34" s="58"/>
      <c r="F34" s="58"/>
      <c r="G34" s="58"/>
    </row>
    <row r="35" spans="1:7" ht="15.75" x14ac:dyDescent="0.25">
      <c r="A35" s="276"/>
      <c r="B35" s="38"/>
      <c r="C35" s="39"/>
      <c r="D35" s="91"/>
      <c r="E35" s="58"/>
      <c r="F35" s="58"/>
      <c r="G35" s="58"/>
    </row>
    <row r="36" spans="1:7" ht="15.75" x14ac:dyDescent="0.25">
      <c r="A36" s="276"/>
      <c r="B36" s="38"/>
      <c r="C36" s="39"/>
      <c r="D36" s="91"/>
      <c r="E36" s="58"/>
      <c r="F36" s="58"/>
      <c r="G36" s="58"/>
    </row>
    <row r="37" spans="1:7" ht="15.75" x14ac:dyDescent="0.25">
      <c r="A37" s="276"/>
      <c r="B37" s="38"/>
      <c r="C37" s="39"/>
      <c r="D37" s="91"/>
      <c r="E37" s="58"/>
      <c r="F37" s="58"/>
      <c r="G37" s="58"/>
    </row>
    <row r="38" spans="1:7" ht="15.75" x14ac:dyDescent="0.25">
      <c r="A38" s="276"/>
      <c r="B38" s="38"/>
      <c r="C38" s="39"/>
      <c r="D38" s="91"/>
      <c r="E38" s="58"/>
      <c r="F38" s="58"/>
      <c r="G38" s="58"/>
    </row>
    <row r="39" spans="1:7" ht="15.75" x14ac:dyDescent="0.25">
      <c r="A39" s="276"/>
      <c r="B39" s="38"/>
      <c r="C39" s="39"/>
      <c r="D39" s="91"/>
      <c r="E39" s="58"/>
      <c r="F39" s="58"/>
      <c r="G39" s="58"/>
    </row>
    <row r="40" spans="1:7" ht="15.75" x14ac:dyDescent="0.25">
      <c r="A40" s="276"/>
      <c r="B40" s="38"/>
      <c r="C40" s="39"/>
      <c r="D40" s="91"/>
      <c r="E40" s="58"/>
      <c r="F40" s="58"/>
      <c r="G40" s="58"/>
    </row>
    <row r="41" spans="1:7" ht="15.75" x14ac:dyDescent="0.25">
      <c r="A41" s="276"/>
      <c r="B41" s="38"/>
      <c r="C41" s="39"/>
      <c r="D41" s="91"/>
      <c r="E41" s="58"/>
      <c r="F41" s="58"/>
      <c r="G41" s="58"/>
    </row>
    <row r="42" spans="1:7" ht="15.75" x14ac:dyDescent="0.25">
      <c r="A42" s="276"/>
      <c r="B42" s="38"/>
      <c r="C42" s="39"/>
      <c r="D42" s="91"/>
      <c r="E42" s="58"/>
      <c r="F42" s="58"/>
      <c r="G42" s="58"/>
    </row>
    <row r="43" spans="1:7" s="286" customFormat="1" ht="15.75" x14ac:dyDescent="0.25">
      <c r="A43" s="276"/>
      <c r="B43" s="38"/>
      <c r="C43" s="39"/>
      <c r="D43" s="91"/>
      <c r="E43" s="402"/>
      <c r="F43" s="402"/>
      <c r="G43" s="402"/>
    </row>
    <row r="44" spans="1:7" s="286" customFormat="1" ht="15.75" x14ac:dyDescent="0.25">
      <c r="A44" s="276"/>
      <c r="B44" s="38"/>
      <c r="C44" s="39"/>
      <c r="D44" s="91"/>
      <c r="E44" s="402"/>
      <c r="F44" s="402"/>
      <c r="G44" s="402"/>
    </row>
    <row r="45" spans="1:7" s="286" customFormat="1" ht="15.75" x14ac:dyDescent="0.25">
      <c r="A45" s="276"/>
      <c r="B45" s="38"/>
      <c r="C45" s="39"/>
      <c r="D45" s="91"/>
      <c r="E45" s="402"/>
      <c r="F45" s="402"/>
      <c r="G45" s="402"/>
    </row>
    <row r="46" spans="1:7" s="286" customFormat="1" ht="15.75" x14ac:dyDescent="0.25">
      <c r="A46" s="276"/>
      <c r="B46" s="38"/>
      <c r="C46" s="39"/>
      <c r="D46" s="91"/>
      <c r="E46" s="402"/>
      <c r="F46" s="402"/>
      <c r="G46" s="402"/>
    </row>
    <row r="47" spans="1:7" s="286" customFormat="1" ht="15.75" x14ac:dyDescent="0.25">
      <c r="A47" s="276"/>
      <c r="B47" s="38"/>
      <c r="C47" s="39"/>
      <c r="D47" s="91"/>
      <c r="E47" s="402"/>
      <c r="F47" s="402"/>
      <c r="G47" s="402"/>
    </row>
    <row r="48" spans="1:7" s="286" customFormat="1" ht="15.75" x14ac:dyDescent="0.25">
      <c r="A48" s="276"/>
      <c r="B48" s="38"/>
      <c r="C48" s="39"/>
      <c r="D48" s="91"/>
      <c r="E48" s="402"/>
      <c r="F48" s="402"/>
      <c r="G48" s="402"/>
    </row>
    <row r="49" spans="1:7" s="286" customFormat="1" ht="15.75" x14ac:dyDescent="0.25">
      <c r="A49" s="276"/>
      <c r="B49" s="38"/>
      <c r="C49" s="39"/>
      <c r="D49" s="91"/>
      <c r="E49" s="402"/>
      <c r="F49" s="402"/>
      <c r="G49" s="402"/>
    </row>
    <row r="50" spans="1:7" ht="15.75" x14ac:dyDescent="0.25">
      <c r="A50" s="276"/>
      <c r="B50" s="38"/>
      <c r="C50" s="39"/>
      <c r="D50" s="91"/>
      <c r="E50" s="58"/>
      <c r="F50" s="58"/>
      <c r="G50" s="58"/>
    </row>
    <row r="51" spans="1:7" ht="15.75" x14ac:dyDescent="0.25">
      <c r="A51" s="276"/>
      <c r="B51" s="38"/>
      <c r="C51" s="39"/>
      <c r="D51" s="91"/>
      <c r="E51" s="58"/>
      <c r="F51" s="58"/>
      <c r="G51" s="58"/>
    </row>
    <row r="52" spans="1:7" ht="15.75" x14ac:dyDescent="0.25">
      <c r="A52" s="276"/>
      <c r="B52" s="38"/>
      <c r="C52" s="39"/>
      <c r="D52" s="91"/>
      <c r="E52" s="58"/>
      <c r="F52" s="58"/>
      <c r="G52" s="58"/>
    </row>
    <row r="53" spans="1:7" ht="15.75" x14ac:dyDescent="0.25">
      <c r="A53" s="276"/>
      <c r="B53" s="38"/>
      <c r="C53" s="39"/>
      <c r="D53" s="91"/>
      <c r="E53" s="58"/>
      <c r="F53" s="58"/>
      <c r="G53" s="58"/>
    </row>
    <row r="54" spans="1:7" ht="15.75" x14ac:dyDescent="0.25">
      <c r="A54" s="276"/>
      <c r="B54" s="38"/>
      <c r="C54" s="39"/>
      <c r="D54" s="91"/>
      <c r="E54" s="58"/>
      <c r="F54" s="58"/>
      <c r="G54" s="58"/>
    </row>
    <row r="55" spans="1:7" ht="15" customHeight="1" x14ac:dyDescent="0.25">
      <c r="A55" s="276"/>
      <c r="B55" s="38"/>
      <c r="C55" s="39"/>
      <c r="D55" s="91"/>
      <c r="E55" s="58"/>
      <c r="F55" s="58"/>
      <c r="G55" s="58"/>
    </row>
    <row r="56" spans="1:7" ht="15.75" customHeight="1" thickBot="1" x14ac:dyDescent="0.3">
      <c r="A56" s="277"/>
      <c r="B56" s="38"/>
      <c r="C56" s="52"/>
      <c r="D56" s="91"/>
      <c r="E56" s="58"/>
      <c r="F56" s="58"/>
      <c r="G56" s="58"/>
    </row>
    <row r="57" spans="1:7" ht="16.5" thickBot="1" x14ac:dyDescent="0.3">
      <c r="A57" s="98" t="s">
        <v>48</v>
      </c>
      <c r="B57" s="99"/>
      <c r="C57" s="100">
        <f>+C7+C17+C27+C8</f>
        <v>-1894</v>
      </c>
      <c r="D57" s="102">
        <f>SUM(D7:D56)</f>
        <v>-1846</v>
      </c>
      <c r="E57" s="71">
        <f>SUM(E7:E56)</f>
        <v>2909</v>
      </c>
      <c r="F57" s="71">
        <f>SUM(F7:F56)</f>
        <v>10109</v>
      </c>
      <c r="G57" s="71">
        <f>SUM(G7:G56)</f>
        <v>17464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8"/>
  <sheetViews>
    <sheetView zoomScaleNormal="100" workbookViewId="0">
      <pane ySplit="6" topLeftCell="A13" activePane="bottomLeft" state="frozen"/>
      <selection activeCell="A70" sqref="A70"/>
      <selection pane="bottomLeft" activeCell="E22" sqref="E22"/>
    </sheetView>
  </sheetViews>
  <sheetFormatPr baseColWidth="10" defaultColWidth="9.85546875" defaultRowHeight="12.75" x14ac:dyDescent="0.2"/>
  <cols>
    <col min="1" max="1" width="43.42578125" style="1" customWidth="1"/>
    <col min="2" max="2" width="11.28515625" style="72" customWidth="1"/>
    <col min="3" max="3" width="13" style="3" customWidth="1"/>
    <col min="4" max="7" width="11.7109375" style="3" customWidth="1"/>
    <col min="8" max="16384" width="9.85546875" style="1"/>
  </cols>
  <sheetData>
    <row r="1" spans="1:7" ht="6.75" customHeight="1" x14ac:dyDescent="0.2">
      <c r="G1" s="5"/>
    </row>
    <row r="2" spans="1:7" ht="26.25" thickBot="1" x14ac:dyDescent="0.4">
      <c r="A2" s="73" t="s">
        <v>160</v>
      </c>
      <c r="B2" s="74"/>
      <c r="C2" s="7"/>
      <c r="D2" s="7"/>
      <c r="E2" s="7"/>
      <c r="F2" s="8"/>
      <c r="G2" s="9" t="s">
        <v>7</v>
      </c>
    </row>
    <row r="3" spans="1:7" ht="18.75" thickTop="1" x14ac:dyDescent="0.25">
      <c r="A3" s="10"/>
      <c r="B3" s="75"/>
      <c r="C3" s="12"/>
      <c r="D3" s="12"/>
      <c r="E3" s="12"/>
      <c r="F3" s="12"/>
      <c r="G3" s="12"/>
    </row>
    <row r="4" spans="1:7" ht="22.5" x14ac:dyDescent="0.3">
      <c r="A4" s="13"/>
      <c r="B4" s="76"/>
      <c r="C4" s="16" t="s">
        <v>40</v>
      </c>
      <c r="D4" s="77"/>
      <c r="E4" s="17" t="s">
        <v>9</v>
      </c>
      <c r="F4" s="18"/>
      <c r="G4" s="19"/>
    </row>
    <row r="5" spans="1:7" ht="18.75" x14ac:dyDescent="0.3">
      <c r="A5" s="20"/>
      <c r="B5" s="21"/>
      <c r="C5" s="23" t="s">
        <v>41</v>
      </c>
      <c r="D5" s="78" t="s">
        <v>12</v>
      </c>
      <c r="E5" s="24"/>
      <c r="F5" s="25"/>
      <c r="G5" s="26"/>
    </row>
    <row r="6" spans="1:7" ht="20.25" x14ac:dyDescent="0.3">
      <c r="A6" s="27" t="s">
        <v>13</v>
      </c>
      <c r="B6" s="28" t="s">
        <v>14</v>
      </c>
      <c r="C6" s="79">
        <v>2019</v>
      </c>
      <c r="D6" s="80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458" t="s">
        <v>42</v>
      </c>
      <c r="B7" s="81"/>
      <c r="C7" s="111">
        <v>400339</v>
      </c>
      <c r="D7" s="350">
        <f>+C58</f>
        <v>404997</v>
      </c>
      <c r="E7" s="347">
        <f>+D7</f>
        <v>404997</v>
      </c>
      <c r="F7" s="347">
        <f>+D7</f>
        <v>404997</v>
      </c>
      <c r="G7" s="347">
        <f>+D7</f>
        <v>404997</v>
      </c>
    </row>
    <row r="8" spans="1:7" ht="15.75" x14ac:dyDescent="0.25">
      <c r="A8" s="459" t="s">
        <v>241</v>
      </c>
      <c r="B8" s="81"/>
      <c r="C8" s="86">
        <v>-7495</v>
      </c>
      <c r="D8" s="344">
        <f>-C49</f>
        <v>-6150</v>
      </c>
      <c r="E8" s="298">
        <f>-C49</f>
        <v>-6150</v>
      </c>
      <c r="F8" s="298">
        <f>-C49</f>
        <v>-6150</v>
      </c>
      <c r="G8" s="298">
        <f>-C49</f>
        <v>-6150</v>
      </c>
    </row>
    <row r="9" spans="1:7" ht="15.75" x14ac:dyDescent="0.25">
      <c r="A9" s="459"/>
      <c r="B9" s="81"/>
      <c r="C9" s="86"/>
      <c r="D9" s="344"/>
      <c r="E9" s="298"/>
      <c r="F9" s="298"/>
      <c r="G9" s="298"/>
    </row>
    <row r="10" spans="1:7" ht="15.75" x14ac:dyDescent="0.25">
      <c r="A10" s="460" t="s">
        <v>43</v>
      </c>
      <c r="B10" s="81"/>
      <c r="C10" s="86"/>
      <c r="D10" s="344"/>
      <c r="E10" s="347"/>
      <c r="F10" s="347"/>
      <c r="G10" s="347"/>
    </row>
    <row r="11" spans="1:7" ht="15.75" x14ac:dyDescent="0.25">
      <c r="A11" s="461" t="s">
        <v>135</v>
      </c>
      <c r="B11" s="38" t="s">
        <v>88</v>
      </c>
      <c r="C11" s="39">
        <f>2965+6621+292+105+310</f>
        <v>10293</v>
      </c>
      <c r="D11" s="344">
        <f>2+454-292+9896-6621+766+192-105+566-310</f>
        <v>4548</v>
      </c>
      <c r="E11" s="298">
        <f>+D11</f>
        <v>4548</v>
      </c>
      <c r="F11" s="298">
        <f t="shared" ref="F11:G11" si="0">+E11</f>
        <v>4548</v>
      </c>
      <c r="G11" s="298">
        <f t="shared" si="0"/>
        <v>4548</v>
      </c>
    </row>
    <row r="12" spans="1:7" s="286" customFormat="1" ht="15.75" x14ac:dyDescent="0.25">
      <c r="A12" s="462" t="s">
        <v>440</v>
      </c>
      <c r="B12" s="51">
        <v>2352</v>
      </c>
      <c r="C12" s="52"/>
      <c r="D12" s="473"/>
      <c r="E12" s="471">
        <v>90</v>
      </c>
      <c r="F12" s="471">
        <v>155</v>
      </c>
      <c r="G12" s="471">
        <v>215</v>
      </c>
    </row>
    <row r="13" spans="1:7" ht="15.75" x14ac:dyDescent="0.25">
      <c r="A13" s="462" t="s">
        <v>202</v>
      </c>
      <c r="B13" s="51" t="s">
        <v>88</v>
      </c>
      <c r="C13" s="52">
        <v>-169</v>
      </c>
      <c r="D13" s="344"/>
      <c r="E13" s="298"/>
      <c r="F13" s="298"/>
      <c r="G13" s="298"/>
    </row>
    <row r="14" spans="1:7" s="286" customFormat="1" ht="15.75" x14ac:dyDescent="0.25">
      <c r="A14" s="462" t="s">
        <v>243</v>
      </c>
      <c r="B14" s="51" t="s">
        <v>88</v>
      </c>
      <c r="C14" s="52">
        <v>-2950</v>
      </c>
      <c r="D14" s="404"/>
      <c r="E14" s="298"/>
      <c r="F14" s="298"/>
      <c r="G14" s="298"/>
    </row>
    <row r="15" spans="1:7" s="286" customFormat="1" ht="15.75" x14ac:dyDescent="0.25">
      <c r="A15" s="462" t="s">
        <v>239</v>
      </c>
      <c r="B15" s="51" t="s">
        <v>88</v>
      </c>
      <c r="C15" s="52">
        <v>-1000</v>
      </c>
      <c r="D15" s="404"/>
      <c r="E15" s="298"/>
      <c r="F15" s="298"/>
      <c r="G15" s="298"/>
    </row>
    <row r="16" spans="1:7" s="290" customFormat="1" ht="15.75" x14ac:dyDescent="0.25">
      <c r="A16" s="462" t="s">
        <v>193</v>
      </c>
      <c r="B16" s="51" t="s">
        <v>194</v>
      </c>
      <c r="C16" s="52">
        <v>-400</v>
      </c>
      <c r="D16" s="344">
        <v>-300</v>
      </c>
      <c r="E16" s="298">
        <v>-300</v>
      </c>
      <c r="F16" s="298">
        <v>-300</v>
      </c>
      <c r="G16" s="298">
        <v>-300</v>
      </c>
    </row>
    <row r="17" spans="1:7" s="290" customFormat="1" ht="15.75" x14ac:dyDescent="0.25">
      <c r="A17" s="462" t="s">
        <v>225</v>
      </c>
      <c r="B17" s="51">
        <v>2103</v>
      </c>
      <c r="C17" s="52">
        <v>-8400</v>
      </c>
      <c r="D17" s="344">
        <v>-1300</v>
      </c>
      <c r="E17" s="298">
        <v>-1300</v>
      </c>
      <c r="F17" s="298">
        <v>-1300</v>
      </c>
      <c r="G17" s="298">
        <v>-1300</v>
      </c>
    </row>
    <row r="18" spans="1:7" s="290" customFormat="1" ht="15.75" x14ac:dyDescent="0.25">
      <c r="A18" s="462" t="s">
        <v>259</v>
      </c>
      <c r="B18" s="51">
        <v>2103</v>
      </c>
      <c r="C18" s="52">
        <v>175</v>
      </c>
      <c r="D18" s="404">
        <v>-4253</v>
      </c>
      <c r="E18" s="298">
        <v>-11780</v>
      </c>
      <c r="F18" s="298">
        <v>-15428</v>
      </c>
      <c r="G18" s="298">
        <v>-15428</v>
      </c>
    </row>
    <row r="19" spans="1:7" s="290" customFormat="1" ht="15.75" x14ac:dyDescent="0.25">
      <c r="A19" s="462" t="s">
        <v>293</v>
      </c>
      <c r="B19" s="51">
        <v>2500</v>
      </c>
      <c r="C19" s="52">
        <v>15</v>
      </c>
      <c r="D19" s="404"/>
      <c r="E19" s="298"/>
      <c r="F19" s="298"/>
      <c r="G19" s="298"/>
    </row>
    <row r="20" spans="1:7" s="290" customFormat="1" ht="15.75" x14ac:dyDescent="0.25">
      <c r="A20" s="462" t="s">
        <v>295</v>
      </c>
      <c r="B20" s="51" t="s">
        <v>189</v>
      </c>
      <c r="C20" s="52"/>
      <c r="D20" s="404">
        <v>3322</v>
      </c>
      <c r="E20" s="298">
        <v>3322</v>
      </c>
      <c r="F20" s="298">
        <v>3322</v>
      </c>
      <c r="G20" s="298">
        <v>3322</v>
      </c>
    </row>
    <row r="21" spans="1:7" s="156" customFormat="1" ht="15.75" x14ac:dyDescent="0.25">
      <c r="A21" s="462" t="s">
        <v>186</v>
      </c>
      <c r="B21" s="51" t="s">
        <v>189</v>
      </c>
      <c r="C21" s="52">
        <v>-40</v>
      </c>
      <c r="D21" s="344"/>
      <c r="E21" s="298"/>
      <c r="F21" s="298"/>
      <c r="G21" s="298"/>
    </row>
    <row r="22" spans="1:7" s="290" customFormat="1" ht="15.75" x14ac:dyDescent="0.25">
      <c r="A22" s="462" t="s">
        <v>330</v>
      </c>
      <c r="B22" s="51">
        <v>2501</v>
      </c>
      <c r="C22" s="52">
        <v>-1500</v>
      </c>
      <c r="D22" s="473">
        <v>4500</v>
      </c>
      <c r="E22" s="471">
        <v>4500</v>
      </c>
      <c r="F22" s="471">
        <v>4500</v>
      </c>
      <c r="G22" s="471">
        <v>4500</v>
      </c>
    </row>
    <row r="23" spans="1:7" s="421" customFormat="1" ht="15.75" x14ac:dyDescent="0.25">
      <c r="A23" s="462" t="s">
        <v>319</v>
      </c>
      <c r="B23" s="51">
        <v>2721</v>
      </c>
      <c r="C23" s="52">
        <v>5800</v>
      </c>
      <c r="D23" s="404">
        <v>-1800</v>
      </c>
      <c r="E23" s="298">
        <v>-2800</v>
      </c>
      <c r="F23" s="298">
        <v>-2800</v>
      </c>
      <c r="G23" s="298">
        <v>-2800</v>
      </c>
    </row>
    <row r="24" spans="1:7" s="421" customFormat="1" ht="15.75" x14ac:dyDescent="0.25">
      <c r="A24" s="462" t="s">
        <v>326</v>
      </c>
      <c r="B24" s="51">
        <v>2721</v>
      </c>
      <c r="C24" s="52"/>
      <c r="D24" s="473">
        <v>800</v>
      </c>
      <c r="E24" s="471">
        <v>1800</v>
      </c>
      <c r="F24" s="471">
        <v>1800</v>
      </c>
      <c r="G24" s="471">
        <v>1800</v>
      </c>
    </row>
    <row r="25" spans="1:7" s="421" customFormat="1" ht="15.75" x14ac:dyDescent="0.25">
      <c r="A25" s="462" t="s">
        <v>258</v>
      </c>
      <c r="B25" s="51">
        <v>2720</v>
      </c>
      <c r="C25" s="52">
        <v>400</v>
      </c>
      <c r="D25" s="404"/>
      <c r="E25" s="298"/>
      <c r="F25" s="298"/>
      <c r="G25" s="298"/>
    </row>
    <row r="26" spans="1:7" s="421" customFormat="1" ht="15.75" x14ac:dyDescent="0.25">
      <c r="A26" s="462" t="s">
        <v>320</v>
      </c>
      <c r="B26" s="51">
        <v>2100</v>
      </c>
      <c r="C26" s="52">
        <v>24</v>
      </c>
      <c r="D26" s="404">
        <v>2800</v>
      </c>
      <c r="E26" s="298">
        <v>2800</v>
      </c>
      <c r="F26" s="298">
        <v>2800</v>
      </c>
      <c r="G26" s="298">
        <v>2800</v>
      </c>
    </row>
    <row r="27" spans="1:7" s="421" customFormat="1" ht="15.75" x14ac:dyDescent="0.25">
      <c r="A27" s="462" t="s">
        <v>321</v>
      </c>
      <c r="B27" s="51">
        <v>2410</v>
      </c>
      <c r="C27" s="52">
        <v>1992</v>
      </c>
      <c r="D27" s="404"/>
      <c r="E27" s="298">
        <v>250</v>
      </c>
      <c r="F27" s="298">
        <v>250</v>
      </c>
      <c r="G27" s="298">
        <v>250</v>
      </c>
    </row>
    <row r="28" spans="1:7" s="421" customFormat="1" ht="15.75" x14ac:dyDescent="0.25">
      <c r="A28" s="462" t="s">
        <v>322</v>
      </c>
      <c r="B28" s="51">
        <v>2340</v>
      </c>
      <c r="C28" s="52">
        <v>100</v>
      </c>
      <c r="D28" s="404"/>
      <c r="E28" s="298">
        <v>50</v>
      </c>
      <c r="F28" s="298">
        <v>50</v>
      </c>
      <c r="G28" s="298">
        <v>50</v>
      </c>
    </row>
    <row r="29" spans="1:7" s="421" customFormat="1" ht="15.75" x14ac:dyDescent="0.25">
      <c r="A29" s="462" t="s">
        <v>323</v>
      </c>
      <c r="B29" s="51">
        <v>2727</v>
      </c>
      <c r="C29" s="52">
        <v>1050</v>
      </c>
      <c r="D29" s="404"/>
      <c r="E29" s="298"/>
      <c r="F29" s="298"/>
      <c r="G29" s="298"/>
    </row>
    <row r="30" spans="1:7" s="421" customFormat="1" ht="15.75" x14ac:dyDescent="0.25">
      <c r="A30" s="462" t="s">
        <v>324</v>
      </c>
      <c r="B30" s="51">
        <v>2830</v>
      </c>
      <c r="C30" s="52">
        <v>90</v>
      </c>
      <c r="D30" s="404">
        <v>90</v>
      </c>
      <c r="E30" s="298">
        <v>90</v>
      </c>
      <c r="F30" s="298">
        <v>90</v>
      </c>
      <c r="G30" s="298">
        <v>90</v>
      </c>
    </row>
    <row r="31" spans="1:7" s="421" customFormat="1" ht="15.75" x14ac:dyDescent="0.25">
      <c r="A31" s="462" t="s">
        <v>325</v>
      </c>
      <c r="B31" s="51">
        <v>2100</v>
      </c>
      <c r="C31" s="52">
        <v>50</v>
      </c>
      <c r="D31" s="404">
        <v>50</v>
      </c>
      <c r="E31" s="298">
        <v>50</v>
      </c>
      <c r="F31" s="298">
        <v>50</v>
      </c>
      <c r="G31" s="298">
        <v>50</v>
      </c>
    </row>
    <row r="32" spans="1:7" s="421" customFormat="1" ht="15.75" x14ac:dyDescent="0.25">
      <c r="A32" s="90" t="s">
        <v>445</v>
      </c>
      <c r="B32" s="51">
        <v>2355</v>
      </c>
      <c r="C32" s="52">
        <v>250</v>
      </c>
      <c r="D32" s="404">
        <v>150</v>
      </c>
      <c r="E32" s="298">
        <v>175</v>
      </c>
      <c r="F32" s="298">
        <v>175</v>
      </c>
      <c r="G32" s="298">
        <v>175</v>
      </c>
    </row>
    <row r="33" spans="1:7" s="421" customFormat="1" ht="15.75" x14ac:dyDescent="0.25">
      <c r="A33" s="90" t="s">
        <v>252</v>
      </c>
      <c r="B33" s="51">
        <v>2100</v>
      </c>
      <c r="C33" s="52">
        <v>200</v>
      </c>
      <c r="D33" s="404">
        <v>200</v>
      </c>
      <c r="E33" s="298">
        <v>200</v>
      </c>
      <c r="F33" s="298">
        <v>200</v>
      </c>
      <c r="G33" s="298">
        <v>200</v>
      </c>
    </row>
    <row r="34" spans="1:7" s="421" customFormat="1" ht="15.75" x14ac:dyDescent="0.25">
      <c r="A34" s="90" t="s">
        <v>244</v>
      </c>
      <c r="B34" s="51">
        <v>2351</v>
      </c>
      <c r="C34" s="52">
        <v>23</v>
      </c>
      <c r="D34" s="404">
        <v>33</v>
      </c>
      <c r="E34" s="298">
        <v>33</v>
      </c>
      <c r="F34" s="298">
        <v>33</v>
      </c>
      <c r="G34" s="298">
        <v>33</v>
      </c>
    </row>
    <row r="35" spans="1:7" s="421" customFormat="1" ht="15.75" x14ac:dyDescent="0.25">
      <c r="A35" s="90" t="s">
        <v>441</v>
      </c>
      <c r="B35" s="51">
        <v>2720</v>
      </c>
      <c r="C35" s="52"/>
      <c r="D35" s="473">
        <v>1450</v>
      </c>
      <c r="E35" s="471">
        <v>1450</v>
      </c>
      <c r="F35" s="471">
        <v>1450</v>
      </c>
      <c r="G35" s="471">
        <v>1450</v>
      </c>
    </row>
    <row r="36" spans="1:7" s="421" customFormat="1" ht="15.75" x14ac:dyDescent="0.25">
      <c r="A36" s="90" t="s">
        <v>442</v>
      </c>
      <c r="B36" s="51">
        <v>2720</v>
      </c>
      <c r="C36" s="52"/>
      <c r="D36" s="473">
        <v>-750</v>
      </c>
      <c r="E36" s="471">
        <v>-750</v>
      </c>
      <c r="F36" s="471">
        <v>-750</v>
      </c>
      <c r="G36" s="471">
        <v>-750</v>
      </c>
    </row>
    <row r="37" spans="1:7" s="421" customFormat="1" ht="15.75" x14ac:dyDescent="0.25">
      <c r="A37" s="90" t="s">
        <v>327</v>
      </c>
      <c r="B37" s="51">
        <v>2723</v>
      </c>
      <c r="C37" s="52"/>
      <c r="D37" s="473">
        <v>-2500</v>
      </c>
      <c r="E37" s="471">
        <v>-2500</v>
      </c>
      <c r="F37" s="471">
        <v>-2500</v>
      </c>
      <c r="G37" s="471">
        <v>-2500</v>
      </c>
    </row>
    <row r="38" spans="1:7" s="421" customFormat="1" ht="15.75" x14ac:dyDescent="0.25">
      <c r="A38" s="90" t="s">
        <v>328</v>
      </c>
      <c r="B38" s="51">
        <v>2727</v>
      </c>
      <c r="C38" s="52"/>
      <c r="D38" s="473">
        <v>-200</v>
      </c>
      <c r="E38" s="471">
        <v>-200</v>
      </c>
      <c r="F38" s="471">
        <v>-200</v>
      </c>
      <c r="G38" s="471">
        <v>-200</v>
      </c>
    </row>
    <row r="39" spans="1:7" s="421" customFormat="1" ht="15.75" x14ac:dyDescent="0.25">
      <c r="A39" s="90" t="s">
        <v>329</v>
      </c>
      <c r="B39" s="51">
        <v>2410</v>
      </c>
      <c r="C39" s="52"/>
      <c r="D39" s="473">
        <v>1920</v>
      </c>
      <c r="E39" s="471">
        <v>1520</v>
      </c>
      <c r="F39" s="471">
        <v>1210</v>
      </c>
      <c r="G39" s="471">
        <v>1010</v>
      </c>
    </row>
    <row r="40" spans="1:7" s="421" customFormat="1" ht="15.75" x14ac:dyDescent="0.25">
      <c r="A40" s="90" t="s">
        <v>331</v>
      </c>
      <c r="B40" s="51" t="s">
        <v>332</v>
      </c>
      <c r="C40" s="52"/>
      <c r="D40" s="473">
        <v>-670</v>
      </c>
      <c r="E40" s="471">
        <v>-670</v>
      </c>
      <c r="F40" s="471">
        <v>-670</v>
      </c>
      <c r="G40" s="471">
        <v>-670</v>
      </c>
    </row>
    <row r="41" spans="1:7" s="421" customFormat="1" ht="15.75" x14ac:dyDescent="0.25">
      <c r="A41" s="90" t="s">
        <v>446</v>
      </c>
      <c r="B41" s="51">
        <v>2100</v>
      </c>
      <c r="C41" s="52"/>
      <c r="D41" s="473"/>
      <c r="E41" s="471"/>
      <c r="F41" s="471"/>
      <c r="G41" s="471"/>
    </row>
    <row r="42" spans="1:7" s="421" customFormat="1" ht="15.75" x14ac:dyDescent="0.25">
      <c r="A42" s="90" t="s">
        <v>427</v>
      </c>
      <c r="B42" s="51">
        <v>2101</v>
      </c>
      <c r="C42" s="52"/>
      <c r="D42" s="473">
        <v>-310</v>
      </c>
      <c r="E42" s="471">
        <v>-310</v>
      </c>
      <c r="F42" s="471">
        <v>-310</v>
      </c>
      <c r="G42" s="471">
        <v>-310</v>
      </c>
    </row>
    <row r="43" spans="1:7" ht="16.5" thickBot="1" x14ac:dyDescent="0.3">
      <c r="A43" s="103" t="s">
        <v>45</v>
      </c>
      <c r="B43" s="38"/>
      <c r="C43" s="92">
        <f>SUM(C10:C42)</f>
        <v>6003</v>
      </c>
      <c r="D43" s="344"/>
      <c r="E43" s="298"/>
      <c r="F43" s="298"/>
      <c r="G43" s="298"/>
    </row>
    <row r="44" spans="1:7" ht="16.5" thickTop="1" x14ac:dyDescent="0.25">
      <c r="A44" s="103"/>
      <c r="B44" s="38"/>
      <c r="C44" s="125"/>
      <c r="D44" s="344"/>
      <c r="E44" s="298"/>
      <c r="F44" s="298"/>
      <c r="G44" s="298"/>
    </row>
    <row r="45" spans="1:7" ht="15.75" x14ac:dyDescent="0.25">
      <c r="A45" s="64" t="s">
        <v>46</v>
      </c>
      <c r="B45" s="38"/>
      <c r="C45" s="39"/>
      <c r="D45" s="344"/>
      <c r="E45" s="298"/>
      <c r="F45" s="298"/>
      <c r="G45" s="298"/>
    </row>
    <row r="46" spans="1:7" s="286" customFormat="1" ht="15.75" x14ac:dyDescent="0.25">
      <c r="A46" s="90" t="s">
        <v>201</v>
      </c>
      <c r="B46" s="38">
        <v>2360</v>
      </c>
      <c r="C46" s="256">
        <v>100</v>
      </c>
      <c r="D46" s="344"/>
      <c r="E46" s="298"/>
      <c r="F46" s="298"/>
      <c r="G46" s="298"/>
    </row>
    <row r="47" spans="1:7" s="286" customFormat="1" ht="15.75" x14ac:dyDescent="0.25">
      <c r="A47" s="90" t="s">
        <v>286</v>
      </c>
      <c r="B47" s="38">
        <v>2100</v>
      </c>
      <c r="C47" s="256">
        <v>5900</v>
      </c>
      <c r="D47" s="404"/>
      <c r="E47" s="298"/>
      <c r="F47" s="298"/>
      <c r="G47" s="298"/>
    </row>
    <row r="48" spans="1:7" s="286" customFormat="1" ht="15.75" x14ac:dyDescent="0.25">
      <c r="A48" s="90" t="s">
        <v>264</v>
      </c>
      <c r="B48" s="38">
        <v>2350</v>
      </c>
      <c r="C48" s="256">
        <v>150</v>
      </c>
      <c r="D48" s="404">
        <v>150</v>
      </c>
      <c r="E48" s="298"/>
      <c r="F48" s="298"/>
      <c r="G48" s="298"/>
    </row>
    <row r="49" spans="1:7" ht="16.5" thickBot="1" x14ac:dyDescent="0.3">
      <c r="A49" s="64" t="s">
        <v>52</v>
      </c>
      <c r="B49" s="38"/>
      <c r="C49" s="92">
        <f>SUM(C45:C48)</f>
        <v>6150</v>
      </c>
      <c r="D49" s="344"/>
      <c r="E49" s="298"/>
      <c r="F49" s="298"/>
      <c r="G49" s="298"/>
    </row>
    <row r="50" spans="1:7" s="286" customFormat="1" ht="16.5" thickTop="1" x14ac:dyDescent="0.25">
      <c r="A50" s="64"/>
      <c r="B50" s="38"/>
      <c r="C50" s="39"/>
      <c r="D50" s="344"/>
      <c r="E50" s="298"/>
      <c r="F50" s="298"/>
      <c r="G50" s="298"/>
    </row>
    <row r="51" spans="1:7" s="286" customFormat="1" ht="15.75" x14ac:dyDescent="0.25">
      <c r="A51" s="64"/>
      <c r="B51" s="38"/>
      <c r="C51" s="39"/>
      <c r="D51" s="404"/>
      <c r="E51" s="298"/>
      <c r="F51" s="298"/>
      <c r="G51" s="298"/>
    </row>
    <row r="52" spans="1:7" s="286" customFormat="1" ht="15.75" x14ac:dyDescent="0.25">
      <c r="A52" s="64"/>
      <c r="B52" s="38"/>
      <c r="C52" s="39"/>
      <c r="D52" s="404"/>
      <c r="E52" s="298"/>
      <c r="F52" s="298"/>
      <c r="G52" s="298"/>
    </row>
    <row r="53" spans="1:7" s="286" customFormat="1" ht="15.75" x14ac:dyDescent="0.25">
      <c r="A53" s="64"/>
      <c r="B53" s="38"/>
      <c r="C53" s="39"/>
      <c r="D53" s="404"/>
      <c r="E53" s="298"/>
      <c r="F53" s="298"/>
      <c r="G53" s="298"/>
    </row>
    <row r="54" spans="1:7" s="286" customFormat="1" ht="15.75" x14ac:dyDescent="0.25">
      <c r="A54" s="64"/>
      <c r="B54" s="38"/>
      <c r="C54" s="39"/>
      <c r="D54" s="404"/>
      <c r="E54" s="298"/>
      <c r="F54" s="298"/>
      <c r="G54" s="298"/>
    </row>
    <row r="55" spans="1:7" s="286" customFormat="1" ht="15.75" x14ac:dyDescent="0.25">
      <c r="A55" s="64"/>
      <c r="B55" s="38"/>
      <c r="C55" s="39"/>
      <c r="D55" s="404"/>
      <c r="E55" s="298"/>
      <c r="F55" s="298"/>
      <c r="G55" s="298"/>
    </row>
    <row r="56" spans="1:7" s="286" customFormat="1" ht="15.75" x14ac:dyDescent="0.25">
      <c r="A56" s="64"/>
      <c r="B56" s="38"/>
      <c r="C56" s="39"/>
      <c r="D56" s="344"/>
      <c r="E56" s="298"/>
      <c r="F56" s="298"/>
      <c r="G56" s="298"/>
    </row>
    <row r="57" spans="1:7" ht="16.5" thickBot="1" x14ac:dyDescent="0.3">
      <c r="A57" s="64"/>
      <c r="B57" s="38"/>
      <c r="C57" s="256"/>
      <c r="D57" s="344"/>
      <c r="E57" s="267"/>
      <c r="F57" s="267"/>
      <c r="G57" s="267"/>
    </row>
    <row r="58" spans="1:7" ht="16.5" thickBot="1" x14ac:dyDescent="0.3">
      <c r="A58" s="67" t="s">
        <v>48</v>
      </c>
      <c r="B58" s="68"/>
      <c r="C58" s="69">
        <f>+C7+C43+C49+C8</f>
        <v>404997</v>
      </c>
      <c r="D58" s="345">
        <f>SUM(D7:D57)</f>
        <v>406777</v>
      </c>
      <c r="E58" s="349">
        <f>SUM(E7:E57)</f>
        <v>399115</v>
      </c>
      <c r="F58" s="349">
        <f>SUM(F7:F57)</f>
        <v>395222</v>
      </c>
      <c r="G58" s="349">
        <f>SUM(G7:G57)</f>
        <v>395082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4" firstPageNumber="0" fitToHeight="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8"/>
  <sheetViews>
    <sheetView zoomScaleNormal="100" zoomScalePageLayoutView="90" workbookViewId="0">
      <pane ySplit="6" topLeftCell="A38" activePane="bottomLeft" state="frozen"/>
      <selection activeCell="A70" sqref="A70"/>
      <selection pane="bottomLeft" activeCell="F65" sqref="F65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7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73" t="s">
        <v>159</v>
      </c>
      <c r="B2" s="74"/>
      <c r="C2" s="7"/>
      <c r="D2" s="7"/>
      <c r="E2" s="113"/>
      <c r="F2" s="8"/>
      <c r="G2" s="9" t="s">
        <v>7</v>
      </c>
    </row>
    <row r="3" spans="1:7" ht="18.75" thickTop="1" x14ac:dyDescent="0.25">
      <c r="A3" s="10"/>
      <c r="B3" s="75"/>
      <c r="C3" s="12"/>
      <c r="D3" s="12"/>
      <c r="E3" s="12"/>
      <c r="F3" s="12"/>
      <c r="G3" s="12"/>
    </row>
    <row r="4" spans="1:7" ht="22.5" x14ac:dyDescent="0.3">
      <c r="A4" s="278"/>
      <c r="B4" s="114"/>
      <c r="C4" s="16" t="s">
        <v>40</v>
      </c>
      <c r="D4" s="77"/>
      <c r="E4" s="17" t="s">
        <v>9</v>
      </c>
      <c r="F4" s="18"/>
      <c r="G4" s="19"/>
    </row>
    <row r="5" spans="1:7" ht="18.75" x14ac:dyDescent="0.3">
      <c r="A5" s="279"/>
      <c r="B5" s="115"/>
      <c r="C5" s="23" t="s">
        <v>41</v>
      </c>
      <c r="D5" s="78" t="s">
        <v>12</v>
      </c>
      <c r="E5" s="24"/>
      <c r="F5" s="25"/>
      <c r="G5" s="26"/>
    </row>
    <row r="6" spans="1:7" ht="20.25" x14ac:dyDescent="0.3">
      <c r="A6" s="280" t="s">
        <v>13</v>
      </c>
      <c r="B6" s="116" t="s">
        <v>14</v>
      </c>
      <c r="C6" s="79">
        <v>2019</v>
      </c>
      <c r="D6" s="80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373" t="s">
        <v>42</v>
      </c>
      <c r="B7" s="374"/>
      <c r="C7" s="111">
        <v>392335</v>
      </c>
      <c r="D7" s="350">
        <f>+C58</f>
        <v>389415</v>
      </c>
      <c r="E7" s="347">
        <f>+D7</f>
        <v>389415</v>
      </c>
      <c r="F7" s="347">
        <f>+D7</f>
        <v>389415</v>
      </c>
      <c r="G7" s="347">
        <f>+D7</f>
        <v>389415</v>
      </c>
    </row>
    <row r="8" spans="1:7" ht="15.75" x14ac:dyDescent="0.25">
      <c r="A8" s="62" t="s">
        <v>241</v>
      </c>
      <c r="B8" s="374"/>
      <c r="C8" s="86">
        <v>0</v>
      </c>
      <c r="D8" s="344">
        <f>-C50</f>
        <v>-1100</v>
      </c>
      <c r="E8" s="298">
        <f>-C50</f>
        <v>-1100</v>
      </c>
      <c r="F8" s="298">
        <f>-C50</f>
        <v>-1100</v>
      </c>
      <c r="G8" s="298">
        <f>-C50</f>
        <v>-1100</v>
      </c>
    </row>
    <row r="9" spans="1:7" ht="15.75" x14ac:dyDescent="0.25">
      <c r="A9" s="373"/>
      <c r="B9" s="374"/>
      <c r="C9" s="86"/>
      <c r="D9" s="344"/>
      <c r="E9" s="347"/>
      <c r="F9" s="347"/>
      <c r="G9" s="347"/>
    </row>
    <row r="10" spans="1:7" ht="15.75" x14ac:dyDescent="0.25">
      <c r="A10" s="373" t="s">
        <v>43</v>
      </c>
      <c r="B10" s="374"/>
      <c r="C10" s="86"/>
      <c r="D10" s="344"/>
      <c r="E10" s="347"/>
      <c r="F10" s="347"/>
      <c r="G10" s="347"/>
    </row>
    <row r="11" spans="1:7" ht="15.75" x14ac:dyDescent="0.25">
      <c r="A11" s="375" t="s">
        <v>134</v>
      </c>
      <c r="B11" s="292" t="s">
        <v>88</v>
      </c>
      <c r="C11" s="39">
        <f>2607+6659+389+1212+30+132+312+227</f>
        <v>11568</v>
      </c>
      <c r="D11" s="344">
        <f>2+1877-1212+10564-6659+59-30+239-132+559-312+520</f>
        <v>5475</v>
      </c>
      <c r="E11" s="298">
        <f>+D11</f>
        <v>5475</v>
      </c>
      <c r="F11" s="298">
        <f t="shared" ref="F11:G11" si="0">+E11</f>
        <v>5475</v>
      </c>
      <c r="G11" s="298">
        <f t="shared" si="0"/>
        <v>5475</v>
      </c>
    </row>
    <row r="12" spans="1:7" s="286" customFormat="1" ht="15.75" x14ac:dyDescent="0.25">
      <c r="A12" s="289" t="s">
        <v>202</v>
      </c>
      <c r="B12" s="292"/>
      <c r="C12" s="39">
        <v>-6</v>
      </c>
      <c r="D12" s="404"/>
      <c r="E12" s="401"/>
      <c r="F12" s="401"/>
      <c r="G12" s="401"/>
    </row>
    <row r="13" spans="1:7" s="286" customFormat="1" ht="15.75" x14ac:dyDescent="0.25">
      <c r="A13" s="289" t="s">
        <v>243</v>
      </c>
      <c r="B13" s="38" t="s">
        <v>88</v>
      </c>
      <c r="C13" s="39">
        <v>-4314</v>
      </c>
      <c r="D13" s="404"/>
      <c r="E13" s="401"/>
      <c r="F13" s="401"/>
      <c r="G13" s="401"/>
    </row>
    <row r="14" spans="1:7" s="286" customFormat="1" ht="15.75" x14ac:dyDescent="0.25">
      <c r="A14" s="375" t="s">
        <v>238</v>
      </c>
      <c r="B14" s="292" t="s">
        <v>88</v>
      </c>
      <c r="C14" s="39">
        <v>-2300</v>
      </c>
      <c r="D14" s="404"/>
      <c r="E14" s="401"/>
      <c r="F14" s="401"/>
      <c r="G14" s="401"/>
    </row>
    <row r="15" spans="1:7" ht="15.75" x14ac:dyDescent="0.25">
      <c r="A15" s="375" t="s">
        <v>44</v>
      </c>
      <c r="B15" s="292">
        <v>3106</v>
      </c>
      <c r="C15" s="39">
        <v>-1000</v>
      </c>
      <c r="D15" s="344">
        <v>-1000</v>
      </c>
      <c r="E15" s="267">
        <v>-2000</v>
      </c>
      <c r="F15" s="267">
        <v>-3000</v>
      </c>
      <c r="G15" s="267">
        <v>-4000</v>
      </c>
    </row>
    <row r="16" spans="1:7" s="290" customFormat="1" ht="15.75" x14ac:dyDescent="0.25">
      <c r="A16" s="397" t="s">
        <v>225</v>
      </c>
      <c r="B16" s="405">
        <v>3411</v>
      </c>
      <c r="C16" s="39">
        <v>-10900</v>
      </c>
      <c r="D16" s="407">
        <v>-4200</v>
      </c>
      <c r="E16" s="267">
        <v>-4200</v>
      </c>
      <c r="F16" s="267">
        <v>-4200</v>
      </c>
      <c r="G16" s="267">
        <v>-4200</v>
      </c>
    </row>
    <row r="17" spans="1:7" s="290" customFormat="1" ht="15.75" x14ac:dyDescent="0.25">
      <c r="A17" s="90" t="s">
        <v>259</v>
      </c>
      <c r="B17" s="441"/>
      <c r="C17" s="52">
        <v>190</v>
      </c>
      <c r="D17" s="404">
        <v>-4689</v>
      </c>
      <c r="E17" s="401">
        <v>-12993</v>
      </c>
      <c r="F17" s="401">
        <v>-17478</v>
      </c>
      <c r="G17" s="401">
        <v>-17478</v>
      </c>
    </row>
    <row r="18" spans="1:7" s="290" customFormat="1" ht="15.75" x14ac:dyDescent="0.25">
      <c r="A18" s="397" t="s">
        <v>195</v>
      </c>
      <c r="B18" s="405" t="s">
        <v>227</v>
      </c>
      <c r="C18" s="39">
        <v>-500</v>
      </c>
      <c r="D18" s="344">
        <v>-700</v>
      </c>
      <c r="E18" s="267">
        <v>-700</v>
      </c>
      <c r="F18" s="267">
        <v>-700</v>
      </c>
      <c r="G18" s="267">
        <v>-700</v>
      </c>
    </row>
    <row r="19" spans="1:7" s="421" customFormat="1" ht="15.75" x14ac:dyDescent="0.25">
      <c r="A19" s="440" t="s">
        <v>333</v>
      </c>
      <c r="B19" s="441">
        <v>3311</v>
      </c>
      <c r="C19" s="52">
        <v>-3800</v>
      </c>
      <c r="D19" s="404">
        <v>-2700</v>
      </c>
      <c r="E19" s="401">
        <v>-4400</v>
      </c>
      <c r="F19" s="401">
        <v>-4300</v>
      </c>
      <c r="G19" s="401">
        <v>-4300</v>
      </c>
    </row>
    <row r="20" spans="1:7" s="421" customFormat="1" ht="15.75" x14ac:dyDescent="0.25">
      <c r="A20" s="440" t="s">
        <v>341</v>
      </c>
      <c r="B20" s="441">
        <v>3311</v>
      </c>
      <c r="C20" s="52"/>
      <c r="D20" s="473">
        <v>1800</v>
      </c>
      <c r="E20" s="419">
        <v>4900</v>
      </c>
      <c r="F20" s="419">
        <v>4000</v>
      </c>
      <c r="G20" s="419">
        <v>4100</v>
      </c>
    </row>
    <row r="21" spans="1:7" ht="15.75" x14ac:dyDescent="0.25">
      <c r="A21" s="479" t="s">
        <v>146</v>
      </c>
      <c r="B21" s="51" t="s">
        <v>88</v>
      </c>
      <c r="C21" s="52">
        <v>-5</v>
      </c>
      <c r="D21" s="344">
        <v>-5</v>
      </c>
      <c r="E21" s="267">
        <v>-10</v>
      </c>
      <c r="F21" s="267">
        <v>-15</v>
      </c>
      <c r="G21" s="267">
        <v>-20</v>
      </c>
    </row>
    <row r="22" spans="1:7" s="286" customFormat="1" ht="15.75" x14ac:dyDescent="0.25">
      <c r="A22" s="479" t="s">
        <v>292</v>
      </c>
      <c r="B22" s="51" t="s">
        <v>291</v>
      </c>
      <c r="C22" s="52">
        <v>817</v>
      </c>
      <c r="D22" s="404"/>
      <c r="E22" s="401"/>
      <c r="F22" s="401"/>
      <c r="G22" s="401"/>
    </row>
    <row r="23" spans="1:7" s="286" customFormat="1" ht="15.75" x14ac:dyDescent="0.25">
      <c r="A23" s="479" t="s">
        <v>296</v>
      </c>
      <c r="B23" s="51" t="s">
        <v>291</v>
      </c>
      <c r="C23" s="52"/>
      <c r="D23" s="404">
        <f>3114-578-1355</f>
        <v>1181</v>
      </c>
      <c r="E23" s="401">
        <f>3114-578-1355</f>
        <v>1181</v>
      </c>
      <c r="F23" s="401">
        <f>3114-578-1355</f>
        <v>1181</v>
      </c>
      <c r="G23" s="401">
        <f>3114-578-1355</f>
        <v>1181</v>
      </c>
    </row>
    <row r="24" spans="1:7" ht="15.75" x14ac:dyDescent="0.25">
      <c r="A24" s="479" t="s">
        <v>190</v>
      </c>
      <c r="B24" s="51">
        <v>3150</v>
      </c>
      <c r="C24" s="52">
        <v>-375</v>
      </c>
      <c r="D24" s="344"/>
      <c r="E24" s="267"/>
      <c r="F24" s="267"/>
      <c r="G24" s="267"/>
    </row>
    <row r="25" spans="1:7" s="290" customFormat="1" ht="15.75" x14ac:dyDescent="0.25">
      <c r="A25" s="480" t="s">
        <v>276</v>
      </c>
      <c r="B25" s="441"/>
      <c r="C25" s="52">
        <v>-500</v>
      </c>
      <c r="D25" s="404"/>
      <c r="E25" s="401"/>
      <c r="F25" s="401"/>
      <c r="G25" s="401"/>
    </row>
    <row r="26" spans="1:7" s="290" customFormat="1" ht="15.75" x14ac:dyDescent="0.25">
      <c r="A26" s="480" t="s">
        <v>215</v>
      </c>
      <c r="B26" s="452">
        <v>3301</v>
      </c>
      <c r="C26" s="52">
        <v>360</v>
      </c>
      <c r="D26" s="344"/>
      <c r="E26" s="267"/>
      <c r="F26" s="267"/>
      <c r="G26" s="267"/>
    </row>
    <row r="27" spans="1:7" s="290" customFormat="1" ht="15.75" x14ac:dyDescent="0.25">
      <c r="A27" s="480" t="s">
        <v>216</v>
      </c>
      <c r="B27" s="452">
        <v>3301</v>
      </c>
      <c r="C27" s="52">
        <v>500</v>
      </c>
      <c r="D27" s="344"/>
      <c r="E27" s="267"/>
      <c r="F27" s="267"/>
      <c r="G27" s="267"/>
    </row>
    <row r="28" spans="1:7" s="290" customFormat="1" ht="15.75" x14ac:dyDescent="0.25">
      <c r="A28" s="480" t="s">
        <v>339</v>
      </c>
      <c r="B28" s="452">
        <v>3573</v>
      </c>
      <c r="C28" s="52">
        <v>3500</v>
      </c>
      <c r="D28" s="478">
        <v>120</v>
      </c>
      <c r="E28" s="437">
        <v>290</v>
      </c>
      <c r="F28" s="437">
        <v>290</v>
      </c>
      <c r="G28" s="437">
        <v>360</v>
      </c>
    </row>
    <row r="29" spans="1:7" s="290" customFormat="1" ht="15.75" x14ac:dyDescent="0.25">
      <c r="A29" s="440" t="s">
        <v>265</v>
      </c>
      <c r="B29" s="441">
        <v>3900</v>
      </c>
      <c r="C29" s="52">
        <v>-600</v>
      </c>
      <c r="D29" s="404"/>
      <c r="E29" s="401"/>
      <c r="F29" s="401"/>
      <c r="G29" s="401"/>
    </row>
    <row r="30" spans="1:7" s="421" customFormat="1" ht="15.75" x14ac:dyDescent="0.25">
      <c r="A30" s="440" t="s">
        <v>334</v>
      </c>
      <c r="B30" s="441">
        <v>3308</v>
      </c>
      <c r="C30" s="52">
        <v>320</v>
      </c>
      <c r="D30" s="404"/>
      <c r="E30" s="401"/>
      <c r="F30" s="401"/>
      <c r="G30" s="401"/>
    </row>
    <row r="31" spans="1:7" s="421" customFormat="1" ht="15.75" x14ac:dyDescent="0.25">
      <c r="A31" s="440" t="s">
        <v>335</v>
      </c>
      <c r="B31" s="441">
        <v>3235</v>
      </c>
      <c r="C31" s="52">
        <v>60</v>
      </c>
      <c r="D31" s="404"/>
      <c r="E31" s="401"/>
      <c r="F31" s="401"/>
      <c r="G31" s="401"/>
    </row>
    <row r="32" spans="1:7" s="421" customFormat="1" ht="15.75" x14ac:dyDescent="0.25">
      <c r="A32" s="440" t="s">
        <v>365</v>
      </c>
      <c r="B32" s="441" t="s">
        <v>245</v>
      </c>
      <c r="C32" s="52">
        <v>1165</v>
      </c>
      <c r="D32" s="473">
        <v>1500</v>
      </c>
      <c r="E32" s="419">
        <v>1500</v>
      </c>
      <c r="F32" s="419">
        <v>1500</v>
      </c>
      <c r="G32" s="419">
        <v>1500</v>
      </c>
    </row>
    <row r="33" spans="1:7" s="421" customFormat="1" ht="15.75" x14ac:dyDescent="0.25">
      <c r="A33" s="440" t="s">
        <v>336</v>
      </c>
      <c r="B33" s="441">
        <v>3753</v>
      </c>
      <c r="C33" s="52">
        <v>975</v>
      </c>
      <c r="D33" s="404"/>
      <c r="E33" s="401"/>
      <c r="F33" s="401"/>
      <c r="G33" s="401"/>
    </row>
    <row r="34" spans="1:7" s="421" customFormat="1" ht="15.75" x14ac:dyDescent="0.25">
      <c r="A34" s="440" t="s">
        <v>337</v>
      </c>
      <c r="B34" s="441">
        <v>3735</v>
      </c>
      <c r="C34" s="52">
        <v>300</v>
      </c>
      <c r="D34" s="404"/>
      <c r="E34" s="401"/>
      <c r="F34" s="401"/>
      <c r="G34" s="401"/>
    </row>
    <row r="35" spans="1:7" s="421" customFormat="1" ht="15.75" x14ac:dyDescent="0.25">
      <c r="A35" s="440" t="s">
        <v>363</v>
      </c>
      <c r="B35" s="441">
        <v>3590</v>
      </c>
      <c r="C35" s="52"/>
      <c r="D35" s="473">
        <f>800-800+578</f>
        <v>578</v>
      </c>
      <c r="E35" s="419">
        <f>800-800+578</f>
        <v>578</v>
      </c>
      <c r="F35" s="419">
        <f>800-800+578</f>
        <v>578</v>
      </c>
      <c r="G35" s="419">
        <f>800-800+578</f>
        <v>578</v>
      </c>
    </row>
    <row r="36" spans="1:7" s="421" customFormat="1" ht="15.75" x14ac:dyDescent="0.25">
      <c r="A36" s="440" t="s">
        <v>367</v>
      </c>
      <c r="B36" s="441">
        <v>3152</v>
      </c>
      <c r="C36" s="52">
        <v>150</v>
      </c>
      <c r="D36" s="473">
        <f>150+500</f>
        <v>650</v>
      </c>
      <c r="E36" s="419">
        <f>300+1150</f>
        <v>1450</v>
      </c>
      <c r="F36" s="419">
        <f>450+1800</f>
        <v>2250</v>
      </c>
      <c r="G36" s="419">
        <f>450+1800</f>
        <v>2250</v>
      </c>
    </row>
    <row r="37" spans="1:7" s="421" customFormat="1" ht="15.75" x14ac:dyDescent="0.25">
      <c r="A37" s="440" t="s">
        <v>338</v>
      </c>
      <c r="B37" s="441">
        <v>3313</v>
      </c>
      <c r="C37" s="52">
        <v>200</v>
      </c>
      <c r="D37" s="404">
        <v>600</v>
      </c>
      <c r="E37" s="401">
        <v>600</v>
      </c>
      <c r="F37" s="401">
        <v>600</v>
      </c>
      <c r="G37" s="401">
        <v>600</v>
      </c>
    </row>
    <row r="38" spans="1:7" s="421" customFormat="1" ht="15.75" x14ac:dyDescent="0.25">
      <c r="A38" s="440" t="s">
        <v>254</v>
      </c>
      <c r="B38" s="441">
        <v>3314</v>
      </c>
      <c r="C38" s="52">
        <v>-550</v>
      </c>
      <c r="D38" s="404">
        <v>-250</v>
      </c>
      <c r="E38" s="401"/>
      <c r="F38" s="401"/>
      <c r="G38" s="401"/>
    </row>
    <row r="39" spans="1:7" s="421" customFormat="1" ht="15.75" x14ac:dyDescent="0.25">
      <c r="A39" s="440" t="s">
        <v>426</v>
      </c>
      <c r="B39" s="441">
        <v>3314</v>
      </c>
      <c r="C39" s="52">
        <v>550</v>
      </c>
      <c r="D39" s="404">
        <v>250</v>
      </c>
      <c r="E39" s="401"/>
      <c r="F39" s="401"/>
      <c r="G39" s="401"/>
    </row>
    <row r="40" spans="1:7" s="421" customFormat="1" ht="15.75" x14ac:dyDescent="0.25">
      <c r="A40" s="440" t="s">
        <v>364</v>
      </c>
      <c r="B40" s="441">
        <v>3580</v>
      </c>
      <c r="C40" s="52">
        <v>175</v>
      </c>
      <c r="D40" s="473">
        <v>1900</v>
      </c>
      <c r="E40" s="419">
        <v>1900</v>
      </c>
      <c r="F40" s="419">
        <v>1900</v>
      </c>
      <c r="G40" s="419">
        <v>1900</v>
      </c>
    </row>
    <row r="41" spans="1:7" s="421" customFormat="1" ht="15.75" x14ac:dyDescent="0.25">
      <c r="A41" s="440" t="s">
        <v>340</v>
      </c>
      <c r="B41" s="441">
        <v>3322</v>
      </c>
      <c r="C41" s="52"/>
      <c r="D41" s="473">
        <v>1355</v>
      </c>
      <c r="E41" s="419">
        <v>1355</v>
      </c>
      <c r="F41" s="419">
        <v>1355</v>
      </c>
      <c r="G41" s="419">
        <v>1355</v>
      </c>
    </row>
    <row r="42" spans="1:7" s="421" customFormat="1" ht="15.75" x14ac:dyDescent="0.25">
      <c r="A42" s="440" t="s">
        <v>342</v>
      </c>
      <c r="B42" s="441">
        <v>3416</v>
      </c>
      <c r="C42" s="52"/>
      <c r="D42" s="473">
        <v>600</v>
      </c>
      <c r="E42" s="419">
        <v>600</v>
      </c>
      <c r="F42" s="419">
        <v>600</v>
      </c>
      <c r="G42" s="419">
        <v>600</v>
      </c>
    </row>
    <row r="43" spans="1:7" s="421" customFormat="1" ht="15.75" x14ac:dyDescent="0.25">
      <c r="A43" s="440" t="s">
        <v>343</v>
      </c>
      <c r="B43" s="441">
        <v>3235</v>
      </c>
      <c r="C43" s="52"/>
      <c r="D43" s="473">
        <v>-220</v>
      </c>
      <c r="E43" s="419">
        <v>-220</v>
      </c>
      <c r="F43" s="419">
        <v>-220</v>
      </c>
      <c r="G43" s="419">
        <v>-220</v>
      </c>
    </row>
    <row r="44" spans="1:7" s="421" customFormat="1" ht="15.75" x14ac:dyDescent="0.25">
      <c r="A44" s="440" t="s">
        <v>366</v>
      </c>
      <c r="B44" s="441">
        <v>3590</v>
      </c>
      <c r="C44" s="52"/>
      <c r="D44" s="473">
        <v>410</v>
      </c>
      <c r="E44" s="419">
        <v>410</v>
      </c>
      <c r="F44" s="419">
        <v>410</v>
      </c>
      <c r="G44" s="419">
        <v>410</v>
      </c>
    </row>
    <row r="45" spans="1:7" ht="16.5" thickBot="1" x14ac:dyDescent="0.3">
      <c r="A45" s="481" t="s">
        <v>51</v>
      </c>
      <c r="B45" s="452"/>
      <c r="C45" s="444">
        <f>SUM(C10:C44)</f>
        <v>-4020</v>
      </c>
      <c r="D45" s="344"/>
      <c r="E45" s="267"/>
      <c r="F45" s="267"/>
      <c r="G45" s="267"/>
    </row>
    <row r="46" spans="1:7" s="286" customFormat="1" ht="16.5" thickTop="1" x14ac:dyDescent="0.25">
      <c r="A46" s="481"/>
      <c r="B46" s="441"/>
      <c r="C46" s="52"/>
      <c r="D46" s="404"/>
      <c r="E46" s="401"/>
      <c r="F46" s="401"/>
      <c r="G46" s="401"/>
    </row>
    <row r="47" spans="1:7" ht="15.75" x14ac:dyDescent="0.25">
      <c r="A47" s="376" t="s">
        <v>46</v>
      </c>
      <c r="B47" s="405"/>
      <c r="C47" s="39"/>
      <c r="D47" s="344"/>
      <c r="E47" s="267"/>
      <c r="F47" s="267"/>
      <c r="G47" s="267"/>
    </row>
    <row r="48" spans="1:7" s="421" customFormat="1" ht="15.75" x14ac:dyDescent="0.25">
      <c r="A48" s="408" t="s">
        <v>246</v>
      </c>
      <c r="B48" s="406">
        <v>3250</v>
      </c>
      <c r="C48" s="39">
        <v>100</v>
      </c>
      <c r="D48" s="404"/>
      <c r="E48" s="401"/>
      <c r="F48" s="401"/>
      <c r="G48" s="401"/>
    </row>
    <row r="49" spans="1:7" s="421" customFormat="1" ht="15.75" x14ac:dyDescent="0.25">
      <c r="A49" s="408" t="s">
        <v>273</v>
      </c>
      <c r="B49" s="292" t="s">
        <v>274</v>
      </c>
      <c r="C49" s="66">
        <v>1000</v>
      </c>
      <c r="D49" s="404"/>
      <c r="E49" s="401"/>
      <c r="F49" s="401"/>
      <c r="G49" s="401"/>
    </row>
    <row r="50" spans="1:7" ht="16.5" thickBot="1" x14ac:dyDescent="0.3">
      <c r="A50" s="376" t="s">
        <v>52</v>
      </c>
      <c r="B50" s="292"/>
      <c r="C50" s="158">
        <f>SUM(C47:C49)</f>
        <v>1100</v>
      </c>
      <c r="D50" s="344"/>
      <c r="E50" s="267"/>
      <c r="F50" s="267"/>
      <c r="G50" s="267"/>
    </row>
    <row r="51" spans="1:7" s="286" customFormat="1" ht="16.5" thickTop="1" x14ac:dyDescent="0.25">
      <c r="A51" s="376"/>
      <c r="B51" s="406"/>
      <c r="C51" s="52"/>
      <c r="D51" s="404"/>
      <c r="E51" s="401"/>
      <c r="F51" s="401"/>
      <c r="G51" s="401"/>
    </row>
    <row r="52" spans="1:7" s="286" customFormat="1" ht="15.75" x14ac:dyDescent="0.25">
      <c r="A52" s="376"/>
      <c r="B52" s="406"/>
      <c r="C52" s="52"/>
      <c r="D52" s="404"/>
      <c r="E52" s="401"/>
      <c r="F52" s="401"/>
      <c r="G52" s="401"/>
    </row>
    <row r="53" spans="1:7" s="286" customFormat="1" ht="15.75" x14ac:dyDescent="0.25">
      <c r="A53" s="376"/>
      <c r="B53" s="406"/>
      <c r="C53" s="52"/>
      <c r="D53" s="404"/>
      <c r="E53" s="401"/>
      <c r="F53" s="401"/>
      <c r="G53" s="401"/>
    </row>
    <row r="54" spans="1:7" s="286" customFormat="1" ht="15.75" x14ac:dyDescent="0.25">
      <c r="A54" s="376"/>
      <c r="B54" s="406"/>
      <c r="C54" s="52"/>
      <c r="D54" s="404"/>
      <c r="E54" s="401"/>
      <c r="F54" s="401"/>
      <c r="G54" s="401"/>
    </row>
    <row r="55" spans="1:7" s="286" customFormat="1" ht="15.75" x14ac:dyDescent="0.25">
      <c r="A55" s="376"/>
      <c r="B55" s="406"/>
      <c r="C55" s="52"/>
      <c r="D55" s="404"/>
      <c r="E55" s="401"/>
      <c r="F55" s="401"/>
      <c r="G55" s="401"/>
    </row>
    <row r="56" spans="1:7" s="286" customFormat="1" ht="15.75" x14ac:dyDescent="0.25">
      <c r="A56" s="376"/>
      <c r="B56" s="405"/>
      <c r="C56" s="52"/>
      <c r="D56" s="344"/>
      <c r="E56" s="267"/>
      <c r="F56" s="267"/>
      <c r="G56" s="267"/>
    </row>
    <row r="57" spans="1:7" s="286" customFormat="1" ht="16.5" thickBot="1" x14ac:dyDescent="0.3">
      <c r="A57" s="376"/>
      <c r="B57" s="405"/>
      <c r="C57" s="378"/>
      <c r="D57" s="344"/>
      <c r="E57" s="267"/>
      <c r="F57" s="267"/>
      <c r="G57" s="267"/>
    </row>
    <row r="58" spans="1:7" ht="16.5" thickBot="1" x14ac:dyDescent="0.3">
      <c r="A58" s="409" t="s">
        <v>48</v>
      </c>
      <c r="B58" s="410"/>
      <c r="C58" s="411">
        <f>+C7+C45+C50+C8</f>
        <v>389415</v>
      </c>
      <c r="D58" s="412">
        <f>SUM(D7:D57)</f>
        <v>390970</v>
      </c>
      <c r="E58" s="413">
        <f>SUM(E7:E57)</f>
        <v>384031</v>
      </c>
      <c r="F58" s="413">
        <f>SUM(F7:F57)</f>
        <v>378541</v>
      </c>
      <c r="G58" s="414">
        <f>SUM(G7:G57)</f>
        <v>377706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0"/>
  <sheetViews>
    <sheetView tabSelected="1" zoomScaleNormal="100" zoomScalePageLayoutView="110" workbookViewId="0">
      <pane ySplit="6" topLeftCell="A43" activePane="bottomLeft" state="frozen"/>
      <selection activeCell="A70" sqref="A70"/>
      <selection pane="bottomLeft" activeCell="A8" sqref="A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72" customWidth="1"/>
    <col min="3" max="3" width="13" style="3" customWidth="1"/>
    <col min="4" max="7" width="11.7109375" style="3" customWidth="1"/>
    <col min="8" max="16384" width="9.85546875" style="1"/>
  </cols>
  <sheetData>
    <row r="1" spans="1:7" s="244" customFormat="1" ht="11.25" x14ac:dyDescent="0.2">
      <c r="B1" s="245"/>
      <c r="C1" s="246"/>
      <c r="D1" s="246"/>
      <c r="E1" s="246"/>
      <c r="F1" s="246"/>
      <c r="G1" s="247"/>
    </row>
    <row r="2" spans="1:7" ht="26.25" thickBot="1" x14ac:dyDescent="0.4">
      <c r="A2" s="73" t="s">
        <v>157</v>
      </c>
      <c r="B2" s="74"/>
      <c r="C2" s="7"/>
      <c r="D2" s="7"/>
      <c r="E2" s="7"/>
      <c r="F2" s="8"/>
      <c r="G2" s="9" t="s">
        <v>7</v>
      </c>
    </row>
    <row r="3" spans="1:7" s="243" customFormat="1" ht="15.75" thickTop="1" x14ac:dyDescent="0.25">
      <c r="A3" s="240"/>
      <c r="B3" s="241"/>
      <c r="C3" s="242"/>
      <c r="D3" s="242"/>
      <c r="E3" s="242"/>
      <c r="F3" s="242"/>
      <c r="G3" s="242"/>
    </row>
    <row r="4" spans="1:7" ht="22.5" x14ac:dyDescent="0.3">
      <c r="A4" s="250"/>
      <c r="B4" s="76"/>
      <c r="C4" s="16" t="s">
        <v>40</v>
      </c>
      <c r="D4" s="77"/>
      <c r="E4" s="362" t="s">
        <v>9</v>
      </c>
      <c r="F4" s="18"/>
      <c r="G4" s="19"/>
    </row>
    <row r="5" spans="1:7" ht="18.75" x14ac:dyDescent="0.3">
      <c r="A5" s="251"/>
      <c r="B5" s="21"/>
      <c r="C5" s="23" t="s">
        <v>41</v>
      </c>
      <c r="D5" s="78" t="s">
        <v>12</v>
      </c>
      <c r="E5" s="24"/>
      <c r="F5" s="25"/>
      <c r="G5" s="26"/>
    </row>
    <row r="6" spans="1:7" ht="20.25" x14ac:dyDescent="0.3">
      <c r="A6" s="252" t="s">
        <v>13</v>
      </c>
      <c r="B6" s="28" t="s">
        <v>14</v>
      </c>
      <c r="C6" s="79">
        <v>2019</v>
      </c>
      <c r="D6" s="80">
        <v>2020</v>
      </c>
      <c r="E6" s="31">
        <v>2021</v>
      </c>
      <c r="F6" s="32">
        <v>2022</v>
      </c>
      <c r="G6" s="32">
        <v>2023</v>
      </c>
    </row>
    <row r="7" spans="1:7" ht="15.75" x14ac:dyDescent="0.25">
      <c r="A7" s="253" t="s">
        <v>42</v>
      </c>
      <c r="B7" s="81"/>
      <c r="C7" s="111">
        <v>108960</v>
      </c>
      <c r="D7" s="350">
        <f>C60</f>
        <v>99800</v>
      </c>
      <c r="E7" s="347">
        <f>+D7</f>
        <v>99800</v>
      </c>
      <c r="F7" s="347">
        <f>+D7</f>
        <v>99800</v>
      </c>
      <c r="G7" s="85">
        <f>+D7</f>
        <v>99800</v>
      </c>
    </row>
    <row r="8" spans="1:7" ht="15.75" x14ac:dyDescent="0.25">
      <c r="A8" s="62" t="s">
        <v>241</v>
      </c>
      <c r="B8" s="48"/>
      <c r="C8" s="104">
        <v>-13185</v>
      </c>
      <c r="D8" s="344">
        <f>-C58</f>
        <v>-9700</v>
      </c>
      <c r="E8" s="298">
        <f>-C58</f>
        <v>-9700</v>
      </c>
      <c r="F8" s="298">
        <f>-C58</f>
        <v>-9700</v>
      </c>
      <c r="G8" s="36">
        <f>-C58</f>
        <v>-9700</v>
      </c>
    </row>
    <row r="9" spans="1:7" s="286" customFormat="1" ht="15.75" x14ac:dyDescent="0.25">
      <c r="A9" s="493"/>
      <c r="B9" s="48"/>
      <c r="C9" s="104"/>
      <c r="D9" s="404"/>
      <c r="E9" s="298"/>
      <c r="F9" s="298"/>
      <c r="G9" s="36"/>
    </row>
    <row r="10" spans="1:7" ht="15.75" x14ac:dyDescent="0.25">
      <c r="A10" s="253" t="s">
        <v>43</v>
      </c>
      <c r="B10" s="81"/>
      <c r="C10" s="86"/>
      <c r="D10" s="344"/>
      <c r="E10" s="347"/>
      <c r="F10" s="347"/>
      <c r="G10" s="347"/>
    </row>
    <row r="11" spans="1:7" s="157" customFormat="1" ht="15.75" x14ac:dyDescent="0.25">
      <c r="A11" s="255" t="s">
        <v>136</v>
      </c>
      <c r="B11" s="38" t="s">
        <v>88</v>
      </c>
      <c r="C11" s="288">
        <f>994+817+27+68+246+95</f>
        <v>2247</v>
      </c>
      <c r="D11" s="354">
        <f>106-68+1283-817+442-246+173-95</f>
        <v>778</v>
      </c>
      <c r="E11" s="352">
        <f>+D11</f>
        <v>778</v>
      </c>
      <c r="F11" s="352">
        <f t="shared" ref="F11:G11" si="0">+E11</f>
        <v>778</v>
      </c>
      <c r="G11" s="470">
        <f t="shared" si="0"/>
        <v>778</v>
      </c>
    </row>
    <row r="12" spans="1:7" s="157" customFormat="1" ht="15.75" x14ac:dyDescent="0.25">
      <c r="A12" s="289" t="s">
        <v>243</v>
      </c>
      <c r="B12" s="38" t="s">
        <v>88</v>
      </c>
      <c r="C12" s="288">
        <v>-9957</v>
      </c>
      <c r="D12" s="354"/>
      <c r="E12" s="352"/>
      <c r="F12" s="352"/>
      <c r="G12" s="470"/>
    </row>
    <row r="13" spans="1:7" s="286" customFormat="1" ht="15.75" x14ac:dyDescent="0.25">
      <c r="A13" s="291" t="s">
        <v>225</v>
      </c>
      <c r="B13" s="287"/>
      <c r="C13" s="288">
        <v>-2000</v>
      </c>
      <c r="D13" s="354"/>
      <c r="E13" s="352"/>
      <c r="F13" s="352"/>
      <c r="G13" s="415"/>
    </row>
    <row r="14" spans="1:7" s="290" customFormat="1" ht="15.75" x14ac:dyDescent="0.25">
      <c r="A14" s="90" t="s">
        <v>259</v>
      </c>
      <c r="B14" s="239">
        <v>6312</v>
      </c>
      <c r="C14" s="394">
        <v>0</v>
      </c>
      <c r="D14" s="354">
        <v>-1218</v>
      </c>
      <c r="E14" s="352">
        <v>-3466</v>
      </c>
      <c r="F14" s="352">
        <v>-5899</v>
      </c>
      <c r="G14" s="353">
        <f>-6712+813</f>
        <v>-5899</v>
      </c>
    </row>
    <row r="15" spans="1:7" ht="15.75" x14ac:dyDescent="0.25">
      <c r="A15" s="291" t="s">
        <v>147</v>
      </c>
      <c r="B15" s="287" t="s">
        <v>88</v>
      </c>
      <c r="C15" s="288">
        <v>-5</v>
      </c>
      <c r="D15" s="354">
        <v>-5</v>
      </c>
      <c r="E15" s="352">
        <v>-10</v>
      </c>
      <c r="F15" s="352">
        <v>-15</v>
      </c>
      <c r="G15" s="353">
        <v>-20</v>
      </c>
    </row>
    <row r="16" spans="1:7" s="286" customFormat="1" ht="15.75" x14ac:dyDescent="0.25">
      <c r="A16" s="291" t="s">
        <v>295</v>
      </c>
      <c r="B16" s="287" t="s">
        <v>247</v>
      </c>
      <c r="C16" s="288"/>
      <c r="D16" s="354">
        <v>173</v>
      </c>
      <c r="E16" s="352">
        <v>173</v>
      </c>
      <c r="F16" s="352">
        <v>173</v>
      </c>
      <c r="G16" s="353">
        <v>173</v>
      </c>
    </row>
    <row r="17" spans="1:7" s="286" customFormat="1" ht="15.75" x14ac:dyDescent="0.25">
      <c r="A17" s="291" t="s">
        <v>277</v>
      </c>
      <c r="B17" s="287">
        <v>6316</v>
      </c>
      <c r="C17" s="288">
        <v>500</v>
      </c>
      <c r="D17" s="354"/>
      <c r="E17" s="352"/>
      <c r="F17" s="352"/>
      <c r="G17" s="353"/>
    </row>
    <row r="18" spans="1:7" s="286" customFormat="1" ht="15.75" x14ac:dyDescent="0.25">
      <c r="A18" s="291" t="s">
        <v>211</v>
      </c>
      <c r="B18" s="239">
        <v>6319</v>
      </c>
      <c r="C18" s="394">
        <v>25</v>
      </c>
      <c r="D18" s="354">
        <v>25</v>
      </c>
      <c r="E18" s="352">
        <v>25</v>
      </c>
      <c r="F18" s="352">
        <v>25</v>
      </c>
      <c r="G18" s="353">
        <v>25</v>
      </c>
    </row>
    <row r="19" spans="1:7" s="286" customFormat="1" ht="15.75" x14ac:dyDescent="0.25">
      <c r="A19" s="291" t="s">
        <v>224</v>
      </c>
      <c r="B19" s="239">
        <v>6120</v>
      </c>
      <c r="C19" s="394">
        <v>-650</v>
      </c>
      <c r="D19" s="354"/>
      <c r="E19" s="352"/>
      <c r="F19" s="352"/>
      <c r="G19" s="353"/>
    </row>
    <row r="20" spans="1:7" s="286" customFormat="1" ht="15.75" x14ac:dyDescent="0.25">
      <c r="A20" s="291" t="s">
        <v>231</v>
      </c>
      <c r="B20" s="239">
        <v>6331</v>
      </c>
      <c r="C20" s="394"/>
      <c r="D20" s="354">
        <v>250</v>
      </c>
      <c r="E20" s="352">
        <v>250</v>
      </c>
      <c r="F20" s="418">
        <v>-1250</v>
      </c>
      <c r="G20" s="447">
        <v>-1250</v>
      </c>
    </row>
    <row r="21" spans="1:7" s="286" customFormat="1" ht="15.75" x14ac:dyDescent="0.25">
      <c r="A21" s="291" t="s">
        <v>471</v>
      </c>
      <c r="B21" s="239">
        <v>6330</v>
      </c>
      <c r="C21" s="394"/>
      <c r="D21" s="482">
        <v>500</v>
      </c>
      <c r="E21" s="418">
        <v>3000</v>
      </c>
      <c r="F21" s="418">
        <v>6000</v>
      </c>
      <c r="G21" s="447">
        <v>7200</v>
      </c>
    </row>
    <row r="22" spans="1:7" s="286" customFormat="1" ht="15.75" x14ac:dyDescent="0.25">
      <c r="A22" s="291" t="s">
        <v>462</v>
      </c>
      <c r="B22" s="239">
        <v>6315</v>
      </c>
      <c r="C22" s="394">
        <v>-1450</v>
      </c>
      <c r="D22" s="354"/>
      <c r="E22" s="352"/>
      <c r="F22" s="352"/>
      <c r="G22" s="353"/>
    </row>
    <row r="23" spans="1:7" s="286" customFormat="1" ht="15.75" x14ac:dyDescent="0.25">
      <c r="A23" s="291" t="s">
        <v>431</v>
      </c>
      <c r="B23" s="239">
        <v>6315</v>
      </c>
      <c r="C23" s="394"/>
      <c r="D23" s="354"/>
      <c r="E23" s="418">
        <v>0</v>
      </c>
      <c r="F23" s="418">
        <v>0</v>
      </c>
      <c r="G23" s="447">
        <v>0</v>
      </c>
    </row>
    <row r="24" spans="1:7" s="286" customFormat="1" ht="15.75" x14ac:dyDescent="0.25">
      <c r="A24" s="291" t="s">
        <v>222</v>
      </c>
      <c r="B24" s="239">
        <v>6310</v>
      </c>
      <c r="C24" s="394">
        <v>-150</v>
      </c>
      <c r="D24" s="354"/>
      <c r="E24" s="352"/>
      <c r="F24" s="352"/>
      <c r="G24" s="353"/>
    </row>
    <row r="25" spans="1:7" s="286" customFormat="1" ht="15.75" x14ac:dyDescent="0.25">
      <c r="A25" s="291" t="s">
        <v>242</v>
      </c>
      <c r="B25" s="239">
        <v>6710</v>
      </c>
      <c r="C25" s="394">
        <v>30</v>
      </c>
      <c r="D25" s="354"/>
      <c r="E25" s="352"/>
      <c r="F25" s="352"/>
      <c r="G25" s="353"/>
    </row>
    <row r="26" spans="1:7" s="290" customFormat="1" ht="15.75" x14ac:dyDescent="0.25">
      <c r="A26" s="291" t="s">
        <v>218</v>
      </c>
      <c r="B26" s="239">
        <v>6100</v>
      </c>
      <c r="C26" s="394">
        <v>85</v>
      </c>
      <c r="D26" s="354"/>
      <c r="E26" s="352"/>
      <c r="F26" s="352"/>
      <c r="G26" s="353"/>
    </row>
    <row r="27" spans="1:7" s="290" customFormat="1" ht="15.75" x14ac:dyDescent="0.25">
      <c r="A27" s="291" t="s">
        <v>226</v>
      </c>
      <c r="B27" s="239">
        <v>6310</v>
      </c>
      <c r="C27" s="394">
        <v>-50</v>
      </c>
      <c r="D27" s="354"/>
      <c r="E27" s="352"/>
      <c r="F27" s="352"/>
      <c r="G27" s="353"/>
    </row>
    <row r="28" spans="1:7" s="421" customFormat="1" ht="15.75" x14ac:dyDescent="0.25">
      <c r="A28" s="291" t="s">
        <v>352</v>
      </c>
      <c r="B28" s="239" t="s">
        <v>247</v>
      </c>
      <c r="C28" s="394">
        <v>1000</v>
      </c>
      <c r="D28" s="482">
        <v>500</v>
      </c>
      <c r="E28" s="418">
        <v>500</v>
      </c>
      <c r="F28" s="418">
        <v>500</v>
      </c>
      <c r="G28" s="447">
        <v>500</v>
      </c>
    </row>
    <row r="29" spans="1:7" s="421" customFormat="1" ht="15.75" x14ac:dyDescent="0.25">
      <c r="A29" s="291" t="s">
        <v>344</v>
      </c>
      <c r="B29" s="239">
        <v>6311</v>
      </c>
      <c r="C29" s="394">
        <v>2100</v>
      </c>
      <c r="D29" s="354">
        <v>-500</v>
      </c>
      <c r="E29" s="352">
        <v>-500</v>
      </c>
      <c r="F29" s="352">
        <v>-500</v>
      </c>
      <c r="G29" s="353">
        <v>-500</v>
      </c>
    </row>
    <row r="30" spans="1:7" s="421" customFormat="1" ht="15.75" x14ac:dyDescent="0.25">
      <c r="A30" s="291" t="s">
        <v>353</v>
      </c>
      <c r="B30" s="239">
        <v>6311</v>
      </c>
      <c r="C30" s="394"/>
      <c r="D30" s="482">
        <v>3000</v>
      </c>
      <c r="E30" s="418">
        <v>2500</v>
      </c>
      <c r="F30" s="418">
        <v>2500</v>
      </c>
      <c r="G30" s="447">
        <v>2000</v>
      </c>
    </row>
    <row r="31" spans="1:7" s="421" customFormat="1" ht="15.75" x14ac:dyDescent="0.25">
      <c r="A31" s="291" t="s">
        <v>266</v>
      </c>
      <c r="B31" s="239">
        <v>6311</v>
      </c>
      <c r="C31" s="394">
        <v>1000</v>
      </c>
      <c r="D31" s="354"/>
      <c r="E31" s="352"/>
      <c r="F31" s="352"/>
      <c r="G31" s="353"/>
    </row>
    <row r="32" spans="1:7" s="421" customFormat="1" ht="15.75" x14ac:dyDescent="0.25">
      <c r="A32" s="291" t="s">
        <v>345</v>
      </c>
      <c r="B32" s="239">
        <v>6321</v>
      </c>
      <c r="C32" s="394">
        <v>1150</v>
      </c>
      <c r="D32" s="354"/>
      <c r="E32" s="352"/>
      <c r="F32" s="352"/>
      <c r="G32" s="353"/>
    </row>
    <row r="33" spans="1:7" s="421" customFormat="1" ht="15.75" x14ac:dyDescent="0.25">
      <c r="A33" s="291" t="s">
        <v>346</v>
      </c>
      <c r="B33" s="239"/>
      <c r="C33" s="394">
        <v>450</v>
      </c>
      <c r="D33" s="354"/>
      <c r="E33" s="352"/>
      <c r="F33" s="352"/>
      <c r="G33" s="353"/>
    </row>
    <row r="34" spans="1:7" s="421" customFormat="1" ht="15.75" x14ac:dyDescent="0.25">
      <c r="A34" s="291" t="s">
        <v>472</v>
      </c>
      <c r="B34" s="239">
        <v>6320</v>
      </c>
      <c r="C34" s="394"/>
      <c r="D34" s="482">
        <v>500</v>
      </c>
      <c r="E34" s="418">
        <v>2000</v>
      </c>
      <c r="F34" s="418">
        <v>5000</v>
      </c>
      <c r="G34" s="447">
        <v>5700</v>
      </c>
    </row>
    <row r="35" spans="1:7" s="421" customFormat="1" ht="15.75" x14ac:dyDescent="0.25">
      <c r="A35" s="291" t="s">
        <v>347</v>
      </c>
      <c r="B35" s="239">
        <v>6750</v>
      </c>
      <c r="C35" s="394"/>
      <c r="D35" s="482">
        <v>110</v>
      </c>
      <c r="E35" s="418">
        <v>110</v>
      </c>
      <c r="F35" s="418">
        <v>110</v>
      </c>
      <c r="G35" s="447">
        <v>110</v>
      </c>
    </row>
    <row r="36" spans="1:7" s="421" customFormat="1" ht="15.75" x14ac:dyDescent="0.25">
      <c r="A36" s="291" t="s">
        <v>348</v>
      </c>
      <c r="B36" s="239">
        <v>6320</v>
      </c>
      <c r="C36" s="394"/>
      <c r="D36" s="482">
        <v>500</v>
      </c>
      <c r="E36" s="418">
        <v>500</v>
      </c>
      <c r="F36" s="418">
        <v>500</v>
      </c>
      <c r="G36" s="447">
        <v>500</v>
      </c>
    </row>
    <row r="37" spans="1:7" s="421" customFormat="1" ht="15.75" x14ac:dyDescent="0.25">
      <c r="A37" s="291" t="s">
        <v>350</v>
      </c>
      <c r="B37" s="239">
        <v>6316</v>
      </c>
      <c r="C37" s="394"/>
      <c r="D37" s="482">
        <v>100</v>
      </c>
      <c r="E37" s="418">
        <v>100</v>
      </c>
      <c r="F37" s="418">
        <v>100</v>
      </c>
      <c r="G37" s="447">
        <v>100</v>
      </c>
    </row>
    <row r="38" spans="1:7" s="421" customFormat="1" ht="15.75" x14ac:dyDescent="0.25">
      <c r="A38" s="291" t="s">
        <v>438</v>
      </c>
      <c r="B38" s="239">
        <v>6100</v>
      </c>
      <c r="C38" s="394"/>
      <c r="D38" s="482">
        <v>80</v>
      </c>
      <c r="E38" s="418">
        <v>80</v>
      </c>
      <c r="F38" s="418">
        <v>80</v>
      </c>
      <c r="G38" s="447">
        <v>80</v>
      </c>
    </row>
    <row r="39" spans="1:7" s="421" customFormat="1" ht="15.75" x14ac:dyDescent="0.25">
      <c r="A39" s="291" t="s">
        <v>354</v>
      </c>
      <c r="B39" s="239">
        <v>6310</v>
      </c>
      <c r="C39" s="394"/>
      <c r="D39" s="482">
        <v>100</v>
      </c>
      <c r="E39" s="418">
        <v>100</v>
      </c>
      <c r="F39" s="418">
        <v>100</v>
      </c>
      <c r="G39" s="447">
        <v>100</v>
      </c>
    </row>
    <row r="40" spans="1:7" s="421" customFormat="1" ht="15.75" x14ac:dyDescent="0.25">
      <c r="A40" s="291" t="s">
        <v>355</v>
      </c>
      <c r="B40" s="239">
        <v>6415</v>
      </c>
      <c r="C40" s="394"/>
      <c r="D40" s="482">
        <v>50</v>
      </c>
      <c r="E40" s="418">
        <v>10</v>
      </c>
      <c r="F40" s="418">
        <v>10</v>
      </c>
      <c r="G40" s="447">
        <v>10</v>
      </c>
    </row>
    <row r="41" spans="1:7" s="421" customFormat="1" ht="15.75" x14ac:dyDescent="0.25">
      <c r="A41" s="291" t="s">
        <v>429</v>
      </c>
      <c r="B41" s="239">
        <v>6319</v>
      </c>
      <c r="C41" s="394"/>
      <c r="D41" s="482">
        <f>-1720-1760</f>
        <v>-3480</v>
      </c>
      <c r="E41" s="418">
        <f>-1720-1760</f>
        <v>-3480</v>
      </c>
      <c r="F41" s="418">
        <f t="shared" ref="F41:G41" si="1">-1720-1760</f>
        <v>-3480</v>
      </c>
      <c r="G41" s="497">
        <f t="shared" si="1"/>
        <v>-3480</v>
      </c>
    </row>
    <row r="42" spans="1:7" s="421" customFormat="1" ht="15.75" x14ac:dyDescent="0.25">
      <c r="A42" s="291" t="s">
        <v>428</v>
      </c>
      <c r="B42" s="239">
        <v>6319</v>
      </c>
      <c r="C42" s="394"/>
      <c r="D42" s="482">
        <v>40</v>
      </c>
      <c r="E42" s="418">
        <v>40</v>
      </c>
      <c r="F42" s="418">
        <v>40</v>
      </c>
      <c r="G42" s="447">
        <v>40</v>
      </c>
    </row>
    <row r="43" spans="1:7" s="110" customFormat="1" ht="16.5" thickBot="1" x14ac:dyDescent="0.3">
      <c r="A43" s="442" t="s">
        <v>51</v>
      </c>
      <c r="B43" s="443"/>
      <c r="C43" s="444">
        <f>SUM(C10:C42)</f>
        <v>-5675</v>
      </c>
      <c r="D43" s="355"/>
      <c r="E43" s="357"/>
      <c r="F43" s="357"/>
      <c r="G43" s="357"/>
    </row>
    <row r="44" spans="1:7" s="110" customFormat="1" ht="16.5" thickTop="1" x14ac:dyDescent="0.25">
      <c r="A44" s="442"/>
      <c r="B44" s="443"/>
      <c r="C44" s="86"/>
      <c r="D44" s="464"/>
      <c r="E44" s="465"/>
      <c r="F44" s="465"/>
      <c r="G44" s="465"/>
    </row>
    <row r="45" spans="1:7" ht="15.75" x14ac:dyDescent="0.25">
      <c r="A45" s="442" t="s">
        <v>46</v>
      </c>
      <c r="B45" s="51"/>
      <c r="C45" s="52"/>
      <c r="D45" s="344"/>
      <c r="E45" s="267"/>
      <c r="F45" s="267"/>
      <c r="G45" s="267"/>
    </row>
    <row r="46" spans="1:7" s="286" customFormat="1" ht="15.75" x14ac:dyDescent="0.25">
      <c r="A46" s="90" t="s">
        <v>236</v>
      </c>
      <c r="B46" s="51">
        <v>6510</v>
      </c>
      <c r="C46" s="260">
        <v>2000</v>
      </c>
      <c r="D46" s="404"/>
      <c r="E46" s="401"/>
      <c r="F46" s="401"/>
      <c r="G46" s="401"/>
    </row>
    <row r="47" spans="1:7" s="286" customFormat="1" ht="15.75" x14ac:dyDescent="0.25">
      <c r="A47" s="467" t="s">
        <v>282</v>
      </c>
      <c r="B47" s="239">
        <v>6322</v>
      </c>
      <c r="C47" s="446">
        <v>1300</v>
      </c>
      <c r="D47" s="404"/>
      <c r="E47" s="401"/>
      <c r="F47" s="401"/>
      <c r="G47" s="401"/>
    </row>
    <row r="48" spans="1:7" s="286" customFormat="1" ht="15.75" x14ac:dyDescent="0.25">
      <c r="A48" s="467" t="s">
        <v>283</v>
      </c>
      <c r="B48" s="239">
        <v>6322</v>
      </c>
      <c r="C48" s="446">
        <v>-1300</v>
      </c>
      <c r="D48" s="404"/>
      <c r="E48" s="401"/>
      <c r="F48" s="401"/>
      <c r="G48" s="401"/>
    </row>
    <row r="49" spans="1:7" s="286" customFormat="1" ht="15.75" x14ac:dyDescent="0.25">
      <c r="A49" s="463" t="s">
        <v>463</v>
      </c>
      <c r="B49" s="239" t="s">
        <v>234</v>
      </c>
      <c r="C49" s="446">
        <v>3000</v>
      </c>
      <c r="D49" s="404"/>
      <c r="E49" s="401"/>
      <c r="F49" s="401"/>
      <c r="G49" s="401"/>
    </row>
    <row r="50" spans="1:7" s="286" customFormat="1" ht="15.75" x14ac:dyDescent="0.25">
      <c r="A50" s="445" t="s">
        <v>275</v>
      </c>
      <c r="B50" s="239">
        <v>6210</v>
      </c>
      <c r="C50" s="394">
        <v>600</v>
      </c>
      <c r="D50" s="354"/>
      <c r="E50" s="352"/>
      <c r="F50" s="352"/>
      <c r="G50" s="353"/>
    </row>
    <row r="51" spans="1:7" s="421" customFormat="1" ht="15.75" x14ac:dyDescent="0.25">
      <c r="A51" s="445" t="s">
        <v>362</v>
      </c>
      <c r="B51" s="239">
        <v>6411</v>
      </c>
      <c r="C51" s="394">
        <v>3000</v>
      </c>
      <c r="D51" s="354"/>
      <c r="E51" s="352"/>
      <c r="F51" s="352"/>
      <c r="G51" s="353"/>
    </row>
    <row r="52" spans="1:7" s="421" customFormat="1" ht="15.75" x14ac:dyDescent="0.25">
      <c r="A52" s="445" t="s">
        <v>464</v>
      </c>
      <c r="B52" s="239">
        <v>6100</v>
      </c>
      <c r="C52" s="394">
        <v>500</v>
      </c>
      <c r="D52" s="354"/>
      <c r="E52" s="352"/>
      <c r="F52" s="352"/>
      <c r="G52" s="353"/>
    </row>
    <row r="53" spans="1:7" s="421" customFormat="1" ht="15.75" x14ac:dyDescent="0.25">
      <c r="A53" s="445" t="s">
        <v>465</v>
      </c>
      <c r="B53" s="239">
        <v>6100</v>
      </c>
      <c r="C53" s="394">
        <v>600</v>
      </c>
      <c r="D53" s="354">
        <v>1600</v>
      </c>
      <c r="E53" s="352"/>
      <c r="F53" s="352"/>
      <c r="G53" s="353"/>
    </row>
    <row r="54" spans="1:7" s="421" customFormat="1" ht="15.75" x14ac:dyDescent="0.25">
      <c r="A54" s="445" t="s">
        <v>470</v>
      </c>
      <c r="B54" s="239">
        <v>6335</v>
      </c>
      <c r="C54" s="394">
        <v>3160</v>
      </c>
      <c r="D54" s="482">
        <v>3160</v>
      </c>
      <c r="E54" s="418">
        <v>1580</v>
      </c>
      <c r="F54" s="352"/>
      <c r="G54" s="353"/>
    </row>
    <row r="55" spans="1:7" s="421" customFormat="1" ht="15.75" x14ac:dyDescent="0.25">
      <c r="A55" s="445" t="s">
        <v>469</v>
      </c>
      <c r="B55" s="239">
        <v>6335</v>
      </c>
      <c r="C55" s="394">
        <v>-3160</v>
      </c>
      <c r="D55" s="482">
        <v>-3160</v>
      </c>
      <c r="E55" s="418">
        <v>-1580</v>
      </c>
      <c r="F55" s="352"/>
      <c r="G55" s="353"/>
    </row>
    <row r="56" spans="1:7" s="421" customFormat="1" ht="15.75" x14ac:dyDescent="0.25">
      <c r="A56" s="445" t="s">
        <v>349</v>
      </c>
      <c r="B56" s="239">
        <v>6318</v>
      </c>
      <c r="C56" s="86"/>
      <c r="D56" s="482">
        <v>800</v>
      </c>
      <c r="E56" s="352"/>
      <c r="F56" s="352"/>
      <c r="G56" s="353"/>
    </row>
    <row r="57" spans="1:7" s="421" customFormat="1" ht="15.75" x14ac:dyDescent="0.25">
      <c r="A57" s="445" t="s">
        <v>351</v>
      </c>
      <c r="B57" s="239">
        <v>6710</v>
      </c>
      <c r="C57" s="86"/>
      <c r="D57" s="482">
        <v>150</v>
      </c>
      <c r="E57" s="352"/>
      <c r="F57" s="352"/>
      <c r="G57" s="353"/>
    </row>
    <row r="58" spans="1:7" s="110" customFormat="1" ht="16.5" thickBot="1" x14ac:dyDescent="0.3">
      <c r="A58" s="442" t="s">
        <v>52</v>
      </c>
      <c r="B58" s="443"/>
      <c r="C58" s="444">
        <f>SUM(C45:C57)</f>
        <v>9700</v>
      </c>
      <c r="D58" s="355"/>
      <c r="E58" s="357"/>
      <c r="F58" s="357"/>
      <c r="G58" s="357"/>
    </row>
    <row r="59" spans="1:7" s="110" customFormat="1" ht="17.25" thickTop="1" thickBot="1" x14ac:dyDescent="0.3">
      <c r="A59" s="254"/>
      <c r="B59" s="248"/>
      <c r="C59" s="39"/>
      <c r="D59" s="356"/>
      <c r="E59" s="357"/>
      <c r="F59" s="357"/>
      <c r="G59" s="109"/>
    </row>
    <row r="60" spans="1:7" ht="16.5" thickBot="1" x14ac:dyDescent="0.3">
      <c r="A60" s="266" t="s">
        <v>48</v>
      </c>
      <c r="B60" s="68"/>
      <c r="C60" s="69">
        <f>+C7+C43+C58+C8</f>
        <v>99800</v>
      </c>
      <c r="D60" s="345">
        <f>SUM(D7:D59)</f>
        <v>94153</v>
      </c>
      <c r="E60" s="349">
        <f>SUM(E7:E59)</f>
        <v>92810</v>
      </c>
      <c r="F60" s="349">
        <f>SUM(F7:F59)</f>
        <v>94872</v>
      </c>
      <c r="G60" s="71">
        <f>SUM(G7:G59)</f>
        <v>96267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8" firstPageNumber="0" fitToHeight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8"/>
  <sheetViews>
    <sheetView topLeftCell="A4" zoomScaleNormal="100" zoomScalePageLayoutView="110" workbookViewId="0">
      <selection activeCell="E16" sqref="E16:H16"/>
    </sheetView>
  </sheetViews>
  <sheetFormatPr baseColWidth="10" defaultColWidth="9.85546875" defaultRowHeight="12.75" x14ac:dyDescent="0.2"/>
  <cols>
    <col min="1" max="1" width="30.85546875" style="1" customWidth="1"/>
    <col min="2" max="2" width="12.7109375" style="72" customWidth="1"/>
    <col min="3" max="3" width="9.85546875" style="3" hidden="1" customWidth="1"/>
    <col min="4" max="4" width="11.140625" style="3" customWidth="1"/>
    <col min="5" max="8" width="11.7109375" style="3" customWidth="1"/>
    <col min="9" max="16384" width="9.85546875" style="1"/>
  </cols>
  <sheetData>
    <row r="1" spans="1:19" ht="15" x14ac:dyDescent="0.2">
      <c r="H1" s="5"/>
    </row>
    <row r="2" spans="1:19" ht="26.25" thickBot="1" x14ac:dyDescent="0.4">
      <c r="A2" s="119" t="s">
        <v>55</v>
      </c>
      <c r="B2" s="74"/>
      <c r="C2" s="7"/>
      <c r="D2" s="7"/>
      <c r="E2" s="7"/>
      <c r="F2" s="7"/>
      <c r="G2" s="8"/>
      <c r="H2" s="9" t="s">
        <v>7</v>
      </c>
    </row>
    <row r="3" spans="1:19" ht="18.75" thickTop="1" x14ac:dyDescent="0.25">
      <c r="A3" s="10"/>
      <c r="B3" s="75"/>
      <c r="C3" s="12"/>
      <c r="D3" s="12"/>
      <c r="E3" s="12"/>
      <c r="F3" s="12"/>
      <c r="G3" s="12"/>
      <c r="H3" s="12"/>
    </row>
    <row r="4" spans="1:19" ht="22.5" x14ac:dyDescent="0.3">
      <c r="A4" s="13"/>
      <c r="B4" s="76"/>
      <c r="C4" s="15"/>
      <c r="D4" s="120" t="s">
        <v>8</v>
      </c>
      <c r="E4" s="121"/>
      <c r="F4" s="362" t="s">
        <v>9</v>
      </c>
      <c r="G4" s="363"/>
      <c r="H4" s="364"/>
    </row>
    <row r="5" spans="1:19" ht="18.75" x14ac:dyDescent="0.3">
      <c r="A5" s="20"/>
      <c r="B5" s="21"/>
      <c r="C5" s="22"/>
      <c r="D5" s="122" t="s">
        <v>11</v>
      </c>
      <c r="E5" s="123" t="s">
        <v>12</v>
      </c>
      <c r="F5" s="365"/>
      <c r="G5" s="366"/>
      <c r="H5" s="367"/>
    </row>
    <row r="6" spans="1:19" ht="20.25" x14ac:dyDescent="0.3">
      <c r="A6" s="27" t="s">
        <v>56</v>
      </c>
      <c r="B6" s="28" t="s">
        <v>57</v>
      </c>
      <c r="C6" s="29"/>
      <c r="D6" s="79">
        <v>2019</v>
      </c>
      <c r="E6" s="417">
        <v>2020</v>
      </c>
      <c r="F6" s="31">
        <v>2021</v>
      </c>
      <c r="G6" s="32">
        <v>2022</v>
      </c>
      <c r="H6" s="32">
        <v>2023</v>
      </c>
    </row>
    <row r="7" spans="1:19" ht="15.75" x14ac:dyDescent="0.25">
      <c r="A7" s="47"/>
      <c r="B7" s="438"/>
      <c r="C7" s="104"/>
      <c r="D7" s="483"/>
      <c r="E7" s="358"/>
      <c r="F7" s="298"/>
      <c r="G7" s="298"/>
      <c r="H7" s="298"/>
    </row>
    <row r="8" spans="1:19" ht="15.75" x14ac:dyDescent="0.25">
      <c r="A8" s="103" t="s">
        <v>177</v>
      </c>
      <c r="B8" s="51"/>
      <c r="C8" s="52"/>
      <c r="D8" s="383"/>
      <c r="E8" s="359"/>
      <c r="F8" s="335"/>
      <c r="G8" s="335"/>
      <c r="H8" s="281"/>
    </row>
    <row r="9" spans="1:19" ht="15.75" x14ac:dyDescent="0.25">
      <c r="A9" s="90" t="s">
        <v>37</v>
      </c>
      <c r="B9" s="51"/>
      <c r="C9" s="52"/>
      <c r="D9" s="52">
        <f>+I_Sentr_!C58</f>
        <v>13000</v>
      </c>
      <c r="E9" s="305">
        <f>+I_Sentr_!D58</f>
        <v>12875</v>
      </c>
      <c r="F9" s="267">
        <f>+I_Sentr_!E58</f>
        <v>12975</v>
      </c>
      <c r="G9" s="267">
        <f>+I_Sentr_!F58</f>
        <v>12975</v>
      </c>
      <c r="H9" s="281">
        <f>+I_Sentr_!G58</f>
        <v>12975</v>
      </c>
      <c r="P9" s="3"/>
      <c r="Q9" s="3"/>
      <c r="R9" s="3"/>
      <c r="S9" s="3"/>
    </row>
    <row r="10" spans="1:19" ht="15.75" x14ac:dyDescent="0.25">
      <c r="A10" s="37" t="s">
        <v>38</v>
      </c>
      <c r="B10" s="51"/>
      <c r="C10" s="52"/>
      <c r="D10" s="52">
        <f>+I_Kirken!C58</f>
        <v>31500</v>
      </c>
      <c r="E10" s="305">
        <f>+I_Kirken!D58</f>
        <v>0</v>
      </c>
      <c r="F10" s="267">
        <f>+I_Kirken!E58</f>
        <v>0</v>
      </c>
      <c r="G10" s="267">
        <f>+I_Kirken!F58</f>
        <v>0</v>
      </c>
      <c r="H10" s="281">
        <f>+I_Kirken!G58</f>
        <v>15000</v>
      </c>
      <c r="P10" s="3"/>
      <c r="Q10" s="3"/>
      <c r="R10" s="3"/>
      <c r="S10" s="3"/>
    </row>
    <row r="11" spans="1:19" ht="15.75" x14ac:dyDescent="0.25">
      <c r="A11" s="37" t="s">
        <v>158</v>
      </c>
      <c r="B11" s="51"/>
      <c r="C11" s="52"/>
      <c r="D11" s="52">
        <f>+'I_Ku-Oppv'!C58</f>
        <v>38900</v>
      </c>
      <c r="E11" s="305">
        <f>+'I_Ku-Oppv'!D58</f>
        <v>93500</v>
      </c>
      <c r="F11" s="267">
        <f>+'I_Ku-Oppv'!E58</f>
        <v>126700</v>
      </c>
      <c r="G11" s="267">
        <f>+'I_Ku-Oppv'!F58</f>
        <v>500</v>
      </c>
      <c r="H11" s="281">
        <f>+'I_Ku-Oppv'!G58</f>
        <v>0</v>
      </c>
      <c r="P11" s="3"/>
      <c r="Q11" s="3"/>
      <c r="R11" s="3"/>
      <c r="S11" s="3"/>
    </row>
    <row r="12" spans="1:19" ht="15.75" x14ac:dyDescent="0.25">
      <c r="A12" s="90" t="s">
        <v>159</v>
      </c>
      <c r="B12" s="51"/>
      <c r="C12" s="52"/>
      <c r="D12" s="52">
        <f>+I_H_O!C58</f>
        <v>4750</v>
      </c>
      <c r="E12" s="305">
        <f>+I_H_O!D58</f>
        <v>6550</v>
      </c>
      <c r="F12" s="267">
        <f>+I_H_O!E58</f>
        <v>31750</v>
      </c>
      <c r="G12" s="267">
        <f>+I_H_O!F58</f>
        <v>27250</v>
      </c>
      <c r="H12" s="281">
        <f>+I_H_O!G58</f>
        <v>18300</v>
      </c>
      <c r="P12" s="3"/>
      <c r="Q12" s="3"/>
      <c r="R12" s="3"/>
      <c r="S12" s="3"/>
    </row>
    <row r="13" spans="1:19" ht="15.75" x14ac:dyDescent="0.25">
      <c r="A13" s="90" t="s">
        <v>58</v>
      </c>
      <c r="B13" s="51"/>
      <c r="C13" s="52"/>
      <c r="D13" s="52">
        <f>+I_VAR!C18</f>
        <v>22200</v>
      </c>
      <c r="E13" s="305">
        <f>+I_VAR!D18</f>
        <v>107800</v>
      </c>
      <c r="F13" s="267">
        <f>+I_VAR!E18</f>
        <v>64000</v>
      </c>
      <c r="G13" s="267">
        <f>+I_VAR!F18</f>
        <v>25400</v>
      </c>
      <c r="H13" s="281">
        <f>+I_VAR!G18</f>
        <v>2300</v>
      </c>
      <c r="P13" s="3"/>
      <c r="Q13" s="3"/>
      <c r="R13" s="3"/>
      <c r="S13" s="3"/>
    </row>
    <row r="14" spans="1:19" ht="15.75" x14ac:dyDescent="0.25">
      <c r="A14" s="90" t="s">
        <v>59</v>
      </c>
      <c r="B14" s="51"/>
      <c r="C14" s="52"/>
      <c r="D14" s="52">
        <f>+I_VAR!C36</f>
        <v>5800</v>
      </c>
      <c r="E14" s="305">
        <f>+I_VAR!D36</f>
        <v>13600</v>
      </c>
      <c r="F14" s="267">
        <f>+I_VAR!E36</f>
        <v>8200</v>
      </c>
      <c r="G14" s="267">
        <f>+I_VAR!F36</f>
        <v>5000</v>
      </c>
      <c r="H14" s="281">
        <f>+I_VAR!G36</f>
        <v>9400</v>
      </c>
      <c r="P14" s="3"/>
      <c r="Q14" s="3"/>
      <c r="R14" s="3"/>
      <c r="S14" s="3"/>
    </row>
    <row r="15" spans="1:19" ht="15.75" x14ac:dyDescent="0.25">
      <c r="A15" s="259" t="s">
        <v>157</v>
      </c>
      <c r="B15" s="239"/>
      <c r="C15" s="394"/>
      <c r="D15" s="52">
        <f>+I_Teknisk!C58</f>
        <v>85200</v>
      </c>
      <c r="E15" s="305">
        <f>+I_Teknisk!D58</f>
        <v>118700</v>
      </c>
      <c r="F15" s="267">
        <f>+I_Teknisk!E58</f>
        <v>35450</v>
      </c>
      <c r="G15" s="267">
        <f>+I_Teknisk!F58</f>
        <v>19500</v>
      </c>
      <c r="H15" s="281">
        <f>+I_Teknisk!G58</f>
        <v>14250</v>
      </c>
      <c r="P15" s="3"/>
      <c r="Q15" s="3"/>
      <c r="R15" s="3"/>
      <c r="S15" s="3"/>
    </row>
    <row r="16" spans="1:19" ht="15.75" x14ac:dyDescent="0.25">
      <c r="A16" s="44" t="s">
        <v>60</v>
      </c>
      <c r="B16" s="448"/>
      <c r="C16" s="132"/>
      <c r="D16" s="132">
        <f>SUM(D8:D15)</f>
        <v>201350</v>
      </c>
      <c r="E16" s="303">
        <f>SUM(E8:E15)</f>
        <v>353025</v>
      </c>
      <c r="F16" s="309">
        <f>SUM(F8:F15)</f>
        <v>279075</v>
      </c>
      <c r="G16" s="309">
        <f>SUM(G8:G15)</f>
        <v>90625</v>
      </c>
      <c r="H16" s="310">
        <f>SUM(H8:H15)</f>
        <v>72225</v>
      </c>
    </row>
    <row r="17" spans="1:8" ht="15.75" x14ac:dyDescent="0.25">
      <c r="A17" s="47"/>
      <c r="B17" s="438"/>
      <c r="C17" s="104"/>
      <c r="D17" s="104"/>
      <c r="E17" s="302"/>
      <c r="F17" s="306"/>
      <c r="G17" s="307"/>
      <c r="H17" s="308"/>
    </row>
    <row r="18" spans="1:8" ht="15.75" x14ac:dyDescent="0.25">
      <c r="A18" s="47" t="s">
        <v>61</v>
      </c>
      <c r="B18" s="438">
        <v>1196</v>
      </c>
      <c r="C18" s="104"/>
      <c r="D18" s="104">
        <f>20000+7500</f>
        <v>27500</v>
      </c>
      <c r="E18" s="302">
        <v>30000</v>
      </c>
      <c r="F18" s="306">
        <v>30000</v>
      </c>
      <c r="G18" s="306">
        <v>30000</v>
      </c>
      <c r="H18" s="306">
        <v>30000</v>
      </c>
    </row>
    <row r="19" spans="1:8" ht="15.75" x14ac:dyDescent="0.25">
      <c r="A19" s="449"/>
      <c r="B19" s="450"/>
      <c r="C19" s="451"/>
      <c r="D19" s="451"/>
      <c r="E19" s="360"/>
      <c r="F19" s="368"/>
      <c r="G19" s="369"/>
      <c r="H19" s="370"/>
    </row>
    <row r="20" spans="1:8" ht="15.75" x14ac:dyDescent="0.25">
      <c r="A20" s="44" t="s">
        <v>62</v>
      </c>
      <c r="B20" s="448"/>
      <c r="C20" s="132"/>
      <c r="D20" s="132">
        <f>+D16+D18</f>
        <v>228850</v>
      </c>
      <c r="E20" s="303">
        <f>+E16+E18</f>
        <v>383025</v>
      </c>
      <c r="F20" s="309">
        <f>+F16+F18</f>
        <v>309075</v>
      </c>
      <c r="G20" s="334">
        <f>+G16+G18</f>
        <v>120625</v>
      </c>
      <c r="H20" s="310">
        <f>+H16+H18</f>
        <v>102225</v>
      </c>
    </row>
    <row r="21" spans="1:8" ht="15.75" x14ac:dyDescent="0.25">
      <c r="A21" s="47"/>
      <c r="B21" s="438"/>
      <c r="C21" s="104"/>
      <c r="D21" s="104"/>
      <c r="E21" s="302"/>
      <c r="F21" s="306"/>
      <c r="G21" s="307"/>
      <c r="H21" s="308"/>
    </row>
    <row r="22" spans="1:8" ht="15.75" x14ac:dyDescent="0.25">
      <c r="A22" s="103" t="s">
        <v>63</v>
      </c>
      <c r="B22" s="51"/>
      <c r="C22" s="52"/>
      <c r="D22" s="52"/>
      <c r="E22" s="305"/>
      <c r="F22" s="335"/>
      <c r="G22" s="267"/>
      <c r="H22" s="281"/>
    </row>
    <row r="23" spans="1:8" ht="15.75" x14ac:dyDescent="0.25">
      <c r="A23" s="50" t="s">
        <v>64</v>
      </c>
      <c r="B23" s="452">
        <v>1999</v>
      </c>
      <c r="C23" s="52"/>
      <c r="D23" s="383">
        <f>43800-15800</f>
        <v>28000</v>
      </c>
      <c r="E23" s="344">
        <f>+E13+E14</f>
        <v>121400</v>
      </c>
      <c r="F23" s="267">
        <f>+F13+F14</f>
        <v>72200</v>
      </c>
      <c r="G23" s="267">
        <f>+G13+G14</f>
        <v>30400</v>
      </c>
      <c r="H23" s="281">
        <f>+H13+H14</f>
        <v>11700</v>
      </c>
    </row>
    <row r="24" spans="1:8" ht="15.75" x14ac:dyDescent="0.25">
      <c r="A24" s="90" t="s">
        <v>65</v>
      </c>
      <c r="B24" s="51">
        <v>1999</v>
      </c>
      <c r="C24" s="52"/>
      <c r="D24" s="383">
        <f>195000-89050</f>
        <v>105950</v>
      </c>
      <c r="E24" s="344">
        <v>110000</v>
      </c>
      <c r="F24" s="267">
        <v>155000</v>
      </c>
      <c r="G24" s="267">
        <v>49000</v>
      </c>
      <c r="H24" s="281">
        <v>46000</v>
      </c>
    </row>
    <row r="25" spans="1:8" s="286" customFormat="1" ht="15.75" x14ac:dyDescent="0.25">
      <c r="A25" s="90" t="s">
        <v>434</v>
      </c>
      <c r="B25" s="51">
        <v>1999</v>
      </c>
      <c r="C25" s="394"/>
      <c r="D25" s="383"/>
      <c r="E25" s="344">
        <v>59900</v>
      </c>
      <c r="F25" s="267"/>
      <c r="G25" s="267"/>
      <c r="H25" s="281"/>
    </row>
    <row r="26" spans="1:8" s="286" customFormat="1" ht="15.75" x14ac:dyDescent="0.25">
      <c r="A26" s="259" t="s">
        <v>290</v>
      </c>
      <c r="B26" s="239">
        <v>1577</v>
      </c>
      <c r="C26" s="394"/>
      <c r="D26" s="383">
        <v>4000</v>
      </c>
      <c r="E26" s="302"/>
      <c r="F26" s="306"/>
      <c r="G26" s="307"/>
      <c r="H26" s="308"/>
    </row>
    <row r="27" spans="1:8" s="286" customFormat="1" ht="15.75" x14ac:dyDescent="0.25">
      <c r="A27" s="259" t="s">
        <v>284</v>
      </c>
      <c r="B27" s="239">
        <v>1851</v>
      </c>
      <c r="C27" s="394"/>
      <c r="D27" s="383">
        <v>2050</v>
      </c>
      <c r="E27" s="302"/>
      <c r="F27" s="306"/>
      <c r="G27" s="307"/>
      <c r="H27" s="308"/>
    </row>
    <row r="28" spans="1:8" ht="15.75" x14ac:dyDescent="0.25">
      <c r="A28" s="259" t="s">
        <v>66</v>
      </c>
      <c r="B28" s="239">
        <v>1196</v>
      </c>
      <c r="C28" s="394"/>
      <c r="D28" s="453">
        <f>20000+7500</f>
        <v>27500</v>
      </c>
      <c r="E28" s="302">
        <v>30000</v>
      </c>
      <c r="F28" s="306">
        <v>30000</v>
      </c>
      <c r="G28" s="307">
        <v>30000</v>
      </c>
      <c r="H28" s="308">
        <v>30000</v>
      </c>
    </row>
    <row r="29" spans="1:8" ht="15.75" x14ac:dyDescent="0.25">
      <c r="A29" s="44" t="s">
        <v>67</v>
      </c>
      <c r="B29" s="448"/>
      <c r="C29" s="132"/>
      <c r="D29" s="132">
        <f>SUM(D22:D28)</f>
        <v>167500</v>
      </c>
      <c r="E29" s="303">
        <f>SUM(E22:E28)</f>
        <v>321300</v>
      </c>
      <c r="F29" s="309">
        <f>SUM(F22:F28)</f>
        <v>257200</v>
      </c>
      <c r="G29" s="309">
        <f>SUM(G22:G28)</f>
        <v>109400</v>
      </c>
      <c r="H29" s="310">
        <f>SUM(H22:H28)</f>
        <v>87700</v>
      </c>
    </row>
    <row r="30" spans="1:8" ht="15.75" x14ac:dyDescent="0.25">
      <c r="A30" s="377"/>
      <c r="B30" s="454"/>
      <c r="C30" s="455"/>
      <c r="D30" s="455"/>
      <c r="E30" s="304"/>
      <c r="F30" s="311"/>
      <c r="G30" s="311"/>
      <c r="H30" s="312"/>
    </row>
    <row r="31" spans="1:8" ht="15.75" x14ac:dyDescent="0.25">
      <c r="A31" s="90" t="s">
        <v>139</v>
      </c>
      <c r="B31" s="456">
        <v>1999</v>
      </c>
      <c r="C31" s="52"/>
      <c r="D31" s="52">
        <v>4950</v>
      </c>
      <c r="E31" s="305">
        <v>4950</v>
      </c>
      <c r="F31" s="267">
        <v>4950</v>
      </c>
      <c r="G31" s="267">
        <v>4950</v>
      </c>
      <c r="H31" s="281">
        <v>2950</v>
      </c>
    </row>
    <row r="32" spans="1:8" ht="15.75" x14ac:dyDescent="0.25">
      <c r="A32" s="90" t="s">
        <v>154</v>
      </c>
      <c r="B32" s="456">
        <v>1999</v>
      </c>
      <c r="C32" s="52"/>
      <c r="D32" s="52">
        <v>2000</v>
      </c>
      <c r="E32" s="305">
        <v>2000</v>
      </c>
      <c r="F32" s="267">
        <v>4000</v>
      </c>
      <c r="G32" s="267">
        <v>4000</v>
      </c>
      <c r="H32" s="281">
        <v>0</v>
      </c>
    </row>
    <row r="33" spans="1:8" s="286" customFormat="1" ht="15.75" x14ac:dyDescent="0.25">
      <c r="A33" s="90" t="s">
        <v>267</v>
      </c>
      <c r="B33" s="456">
        <v>1999</v>
      </c>
      <c r="C33" s="52"/>
      <c r="D33" s="52">
        <v>2000</v>
      </c>
      <c r="E33" s="305">
        <v>2000</v>
      </c>
      <c r="F33" s="401"/>
      <c r="G33" s="401"/>
      <c r="H33" s="415"/>
    </row>
    <row r="34" spans="1:8" ht="15.75" x14ac:dyDescent="0.25">
      <c r="A34" s="103"/>
      <c r="B34" s="456"/>
      <c r="C34" s="52"/>
      <c r="D34" s="52"/>
      <c r="E34" s="305"/>
      <c r="F34" s="267"/>
      <c r="G34" s="267"/>
      <c r="H34" s="281"/>
    </row>
    <row r="35" spans="1:8" ht="15.75" x14ac:dyDescent="0.25">
      <c r="A35" s="103" t="s">
        <v>68</v>
      </c>
      <c r="B35" s="456"/>
      <c r="C35" s="52"/>
      <c r="D35" s="52"/>
      <c r="E35" s="305"/>
      <c r="F35" s="267"/>
      <c r="G35" s="267"/>
      <c r="H35" s="281"/>
    </row>
    <row r="36" spans="1:8" ht="15.75" x14ac:dyDescent="0.25">
      <c r="A36" s="90" t="s">
        <v>174</v>
      </c>
      <c r="B36" s="456">
        <v>1999</v>
      </c>
      <c r="C36" s="52"/>
      <c r="D36" s="52">
        <f>35000-15100</f>
        <v>19900</v>
      </c>
      <c r="E36" s="305">
        <v>23000</v>
      </c>
      <c r="F36" s="267">
        <v>32000</v>
      </c>
      <c r="G36" s="267">
        <v>11000</v>
      </c>
      <c r="H36" s="281">
        <v>10000</v>
      </c>
    </row>
    <row r="37" spans="1:8" s="286" customFormat="1" ht="15.75" x14ac:dyDescent="0.25">
      <c r="A37" s="90" t="s">
        <v>447</v>
      </c>
      <c r="B37" s="456">
        <v>1851</v>
      </c>
      <c r="C37" s="52"/>
      <c r="D37" s="52">
        <v>450</v>
      </c>
      <c r="E37" s="305"/>
      <c r="F37" s="401"/>
      <c r="G37" s="401"/>
      <c r="H37" s="415"/>
    </row>
    <row r="38" spans="1:8" ht="15.75" x14ac:dyDescent="0.25">
      <c r="A38" s="90" t="s">
        <v>175</v>
      </c>
      <c r="B38" s="456">
        <v>1999</v>
      </c>
      <c r="C38" s="52"/>
      <c r="D38" s="52">
        <v>1500</v>
      </c>
      <c r="E38" s="305">
        <v>575</v>
      </c>
      <c r="F38" s="267">
        <v>975</v>
      </c>
      <c r="G38" s="267">
        <v>225</v>
      </c>
      <c r="H38" s="281">
        <v>525</v>
      </c>
    </row>
    <row r="39" spans="1:8" s="286" customFormat="1" ht="15.75" x14ac:dyDescent="0.25">
      <c r="A39" s="90" t="s">
        <v>423</v>
      </c>
      <c r="B39" s="456"/>
      <c r="C39" s="52"/>
      <c r="D39" s="52"/>
      <c r="E39" s="305">
        <v>150</v>
      </c>
      <c r="F39" s="401"/>
      <c r="G39" s="401"/>
      <c r="H39" s="415"/>
    </row>
    <row r="40" spans="1:8" s="286" customFormat="1" ht="15.75" x14ac:dyDescent="0.25">
      <c r="A40" s="90" t="s">
        <v>285</v>
      </c>
      <c r="B40" s="456">
        <v>1851</v>
      </c>
      <c r="C40" s="52"/>
      <c r="D40" s="52">
        <v>9500</v>
      </c>
      <c r="E40" s="305"/>
      <c r="F40" s="401"/>
      <c r="G40" s="401"/>
      <c r="H40" s="415"/>
    </row>
    <row r="41" spans="1:8" ht="15.75" x14ac:dyDescent="0.25">
      <c r="A41" s="90" t="s">
        <v>85</v>
      </c>
      <c r="B41" s="257">
        <v>1999</v>
      </c>
      <c r="C41" s="52"/>
      <c r="D41" s="52">
        <v>2950</v>
      </c>
      <c r="E41" s="305">
        <v>2950</v>
      </c>
      <c r="F41" s="267">
        <v>2950</v>
      </c>
      <c r="G41" s="267">
        <v>2950</v>
      </c>
      <c r="H41" s="281">
        <v>2950</v>
      </c>
    </row>
    <row r="42" spans="1:8" ht="16.5" customHeight="1" x14ac:dyDescent="0.25">
      <c r="A42" s="90" t="s">
        <v>4</v>
      </c>
      <c r="B42" s="257">
        <v>1140</v>
      </c>
      <c r="C42" s="52"/>
      <c r="D42" s="52">
        <v>4000</v>
      </c>
      <c r="E42" s="305">
        <v>4000</v>
      </c>
      <c r="F42" s="267">
        <v>4000</v>
      </c>
      <c r="G42" s="267">
        <v>4000</v>
      </c>
      <c r="H42" s="281">
        <v>4000</v>
      </c>
    </row>
    <row r="43" spans="1:8" ht="16.5" customHeight="1" x14ac:dyDescent="0.25">
      <c r="A43" s="90" t="s">
        <v>5</v>
      </c>
      <c r="B43" s="257">
        <v>1140</v>
      </c>
      <c r="C43" s="52"/>
      <c r="D43" s="52">
        <v>25000</v>
      </c>
      <c r="E43" s="305">
        <v>14000</v>
      </c>
      <c r="F43" s="267">
        <v>13000</v>
      </c>
      <c r="G43" s="267"/>
      <c r="H43" s="281"/>
    </row>
    <row r="44" spans="1:8" ht="16.5" customHeight="1" x14ac:dyDescent="0.25">
      <c r="A44" s="90" t="s">
        <v>151</v>
      </c>
      <c r="B44" s="257">
        <v>1999</v>
      </c>
      <c r="C44" s="52"/>
      <c r="D44" s="52">
        <v>2000</v>
      </c>
      <c r="E44" s="305">
        <v>2000</v>
      </c>
      <c r="F44" s="267">
        <v>2000</v>
      </c>
      <c r="G44" s="267">
        <v>2000</v>
      </c>
      <c r="H44" s="281"/>
    </row>
    <row r="45" spans="1:8" s="286" customFormat="1" ht="16.5" customHeight="1" x14ac:dyDescent="0.25">
      <c r="A45" s="90" t="s">
        <v>230</v>
      </c>
      <c r="B45" s="257">
        <v>1999</v>
      </c>
      <c r="C45" s="52"/>
      <c r="D45" s="52">
        <v>5000</v>
      </c>
      <c r="E45" s="305">
        <f>10000+4000</f>
        <v>14000</v>
      </c>
      <c r="F45" s="401">
        <v>5900</v>
      </c>
      <c r="G45" s="401"/>
      <c r="H45" s="415"/>
    </row>
    <row r="46" spans="1:8" ht="15.75" x14ac:dyDescent="0.25">
      <c r="A46" s="90" t="s">
        <v>260</v>
      </c>
      <c r="B46" s="257">
        <v>1999</v>
      </c>
      <c r="C46" s="52"/>
      <c r="D46" s="52"/>
      <c r="E46" s="305">
        <v>10000</v>
      </c>
      <c r="F46" s="267">
        <v>0</v>
      </c>
      <c r="G46" s="267"/>
      <c r="H46" s="281"/>
    </row>
    <row r="47" spans="1:8" ht="15.75" x14ac:dyDescent="0.25">
      <c r="A47" s="90" t="s">
        <v>268</v>
      </c>
      <c r="B47" s="257">
        <v>1951</v>
      </c>
      <c r="C47" s="52"/>
      <c r="D47" s="52"/>
      <c r="E47" s="305"/>
      <c r="F47" s="267"/>
      <c r="G47" s="267"/>
      <c r="H47" s="281"/>
    </row>
    <row r="48" spans="1:8" ht="15.75" x14ac:dyDescent="0.25">
      <c r="A48" s="44" t="s">
        <v>69</v>
      </c>
      <c r="B48" s="484"/>
      <c r="C48" s="132"/>
      <c r="D48" s="132">
        <f>SUM(D35:D47)</f>
        <v>70300</v>
      </c>
      <c r="E48" s="303">
        <f>SUM(E35:E47)</f>
        <v>70675</v>
      </c>
      <c r="F48" s="309">
        <f>SUM(F35:F47)</f>
        <v>60825</v>
      </c>
      <c r="G48" s="309">
        <f>SUM(G35:G47)</f>
        <v>20175</v>
      </c>
      <c r="H48" s="310">
        <f>SUM(H35:H47)</f>
        <v>17475</v>
      </c>
    </row>
    <row r="49" spans="1:8" ht="15.75" x14ac:dyDescent="0.25">
      <c r="A49" s="64"/>
      <c r="B49" s="38"/>
      <c r="C49" s="39"/>
      <c r="D49" s="39"/>
      <c r="E49" s="305"/>
      <c r="F49" s="335"/>
      <c r="G49" s="267"/>
      <c r="H49" s="281"/>
    </row>
    <row r="50" spans="1:8" ht="15.75" x14ac:dyDescent="0.25">
      <c r="A50" s="64"/>
      <c r="B50" s="38"/>
      <c r="C50" s="39"/>
      <c r="D50" s="39"/>
      <c r="E50" s="305"/>
      <c r="F50" s="335"/>
      <c r="G50" s="267"/>
      <c r="H50" s="400"/>
    </row>
    <row r="51" spans="1:8" s="286" customFormat="1" ht="15.75" x14ac:dyDescent="0.25">
      <c r="A51" s="64"/>
      <c r="B51" s="38"/>
      <c r="C51" s="39"/>
      <c r="D51" s="39"/>
      <c r="E51" s="305"/>
      <c r="F51" s="335"/>
      <c r="G51" s="401"/>
      <c r="H51" s="400"/>
    </row>
    <row r="52" spans="1:8" ht="15.75" x14ac:dyDescent="0.25">
      <c r="A52" s="64"/>
      <c r="B52" s="38"/>
      <c r="C52" s="39"/>
      <c r="D52" s="39"/>
      <c r="E52" s="305"/>
      <c r="F52" s="335"/>
      <c r="G52" s="267"/>
      <c r="H52" s="267"/>
    </row>
    <row r="53" spans="1:8" ht="15.75" x14ac:dyDescent="0.25">
      <c r="A53" s="64"/>
      <c r="B53" s="38"/>
      <c r="C53" s="39"/>
      <c r="D53" s="39"/>
      <c r="E53" s="305"/>
      <c r="F53" s="335"/>
      <c r="G53" s="267"/>
      <c r="H53" s="267"/>
    </row>
    <row r="54" spans="1:8" ht="16.5" thickBot="1" x14ac:dyDescent="0.3">
      <c r="A54" s="64"/>
      <c r="B54" s="38"/>
      <c r="C54" s="39"/>
      <c r="D54" s="39"/>
      <c r="E54" s="361"/>
      <c r="F54" s="335"/>
      <c r="G54" s="267"/>
      <c r="H54" s="267"/>
    </row>
    <row r="55" spans="1:8" ht="16.5" thickBot="1" x14ac:dyDescent="0.3">
      <c r="A55" s="384" t="s">
        <v>70</v>
      </c>
      <c r="B55" s="390"/>
      <c r="C55" s="391"/>
      <c r="D55" s="386">
        <f>+D20-D29-D48+D31+D32+D33</f>
        <v>0</v>
      </c>
      <c r="E55" s="393">
        <f>+E20-E29-E48+E31+E32+E33</f>
        <v>0</v>
      </c>
      <c r="F55" s="392">
        <f>+F20-F29-F48+F31+F32+F33</f>
        <v>0</v>
      </c>
      <c r="G55" s="392">
        <f>+G20-G29-G48+G31+G32+G33</f>
        <v>0</v>
      </c>
      <c r="H55" s="392">
        <f>+H20-H29-H48+H31+H32+H33</f>
        <v>0</v>
      </c>
    </row>
    <row r="58" spans="1:8" x14ac:dyDescent="0.2">
      <c r="A58" s="282"/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8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30</vt:i4>
      </vt:variant>
    </vt:vector>
  </HeadingPairs>
  <TitlesOfParts>
    <vt:vector size="45" baseType="lpstr">
      <vt:lpstr>Forklaring</vt:lpstr>
      <vt:lpstr>Resultat</vt:lpstr>
      <vt:lpstr>D_Sentr_</vt:lpstr>
      <vt:lpstr>D_Kirken</vt:lpstr>
      <vt:lpstr>D_Kap 7</vt:lpstr>
      <vt:lpstr>D_Ku-Oppv</vt:lpstr>
      <vt:lpstr>D_H_O</vt:lpstr>
      <vt:lpstr>D_Teknisk</vt:lpstr>
      <vt:lpstr>Inv_totalt</vt:lpstr>
      <vt:lpstr>I_Sentr_</vt:lpstr>
      <vt:lpstr>I_Kirken</vt:lpstr>
      <vt:lpstr>I_Ku-Oppv</vt:lpstr>
      <vt:lpstr>I_H_O</vt:lpstr>
      <vt:lpstr>I_VAR</vt:lpstr>
      <vt:lpstr>I_Teknisk</vt:lpstr>
      <vt:lpstr>Excel_BuiltIn_Print_Area_2</vt:lpstr>
      <vt:lpstr>Excel_BuiltIn_Print_Area_6_1</vt:lpstr>
      <vt:lpstr>D_H_O!Utskriftsområde</vt:lpstr>
      <vt:lpstr>'D_Kap 7'!Utskriftsområde</vt:lpstr>
      <vt:lpstr>D_Kirken!Utskriftsområde</vt:lpstr>
      <vt:lpstr>'D_Ku-Oppv'!Utskriftsområde</vt:lpstr>
      <vt:lpstr>D_Sentr_!Utskriftsområde</vt:lpstr>
      <vt:lpstr>D_Teknisk!Utskriftsområde</vt:lpstr>
      <vt:lpstr>Forklaring!Utskriftsområde</vt:lpstr>
      <vt:lpstr>I_H_O!Utskriftsområde</vt:lpstr>
      <vt:lpstr>I_Kirken!Utskriftsområde</vt:lpstr>
      <vt:lpstr>'I_Ku-Oppv'!Utskriftsområde</vt:lpstr>
      <vt:lpstr>I_Sentr_!Utskriftsområde</vt:lpstr>
      <vt:lpstr>I_Teknisk!Utskriftsområde</vt:lpstr>
      <vt:lpstr>I_VAR!Utskriftsområde</vt:lpstr>
      <vt:lpstr>Inv_totalt!Utskriftsområde</vt:lpstr>
      <vt:lpstr>Resultat!Utskriftsområde</vt:lpstr>
      <vt:lpstr>D_H_O!Utskriftstitler</vt:lpstr>
      <vt:lpstr>'D_Kap 7'!Utskriftstitler</vt:lpstr>
      <vt:lpstr>D_Kirken!Utskriftstitler</vt:lpstr>
      <vt:lpstr>'D_Ku-Oppv'!Utskriftstitler</vt:lpstr>
      <vt:lpstr>D_Sentr_!Utskriftstitler</vt:lpstr>
      <vt:lpstr>D_Teknisk!Utskriftstitler</vt:lpstr>
      <vt:lpstr>I_H_O!Utskriftstitler</vt:lpstr>
      <vt:lpstr>I_Kirken!Utskriftstitler</vt:lpstr>
      <vt:lpstr>'I_Ku-Oppv'!Utskriftstitler</vt:lpstr>
      <vt:lpstr>I_Sentr_!Utskriftstitler</vt:lpstr>
      <vt:lpstr>I_Teknisk!Utskriftstitler</vt:lpstr>
      <vt:lpstr>I_VAR!Utskriftstitler</vt:lpstr>
      <vt:lpstr>Inv_totalt!Utskriftstitler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Bente Bø Torvaldsen</cp:lastModifiedBy>
  <cp:revision>1</cp:revision>
  <cp:lastPrinted>2019-10-25T07:57:41Z</cp:lastPrinted>
  <dcterms:created xsi:type="dcterms:W3CDTF">2003-10-29T07:12:21Z</dcterms:created>
  <dcterms:modified xsi:type="dcterms:W3CDTF">2019-11-06T12:00:00Z</dcterms:modified>
</cp:coreProperties>
</file>